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pmcUUFC6rZqy8FlNO+VjfE6d6XMImNs2g+EQb+H3VD4hbgcuEMqTgy5za+sD52Im2guv4PePt+cu6zkjozAhw==" workbookSaltValue="X7nVBlGI4776aWzPq+fk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L17" i="14" l="1"/>
  <c r="BF17" i="8"/>
  <c r="B14" i="7"/>
  <c r="R8" i="9"/>
  <c r="T9" i="11" s="1"/>
  <c r="I13" i="14"/>
  <c r="BG17" i="13"/>
  <c r="BH11" i="16"/>
  <c r="BK13" i="11"/>
  <c r="BH19" i="16"/>
  <c r="BM29" i="11"/>
  <c r="BH19" i="11"/>
  <c r="BK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19" i="11"/>
  <c r="BF29" i="11"/>
  <c r="P18" i="17"/>
  <c r="P23" i="17" s="1"/>
  <c r="P31" i="17" s="1"/>
  <c r="BH16" i="11"/>
  <c r="S20" i="14"/>
  <c r="V20" i="14" s="1"/>
  <c r="BH21" i="16"/>
  <c r="BJ19" i="11"/>
  <c r="BL13" i="11"/>
  <c r="BJ25" i="11"/>
  <c r="BU16" i="17"/>
  <c r="BU10" i="17"/>
  <c r="BU22" i="17"/>
  <c r="BU20" i="17"/>
  <c r="BW22" i="20"/>
  <c r="BV9" i="16"/>
  <c r="BG12" i="11"/>
  <c r="BL9" i="11"/>
  <c r="BF19" i="11"/>
  <c r="BL18" i="11"/>
  <c r="BK12" i="11"/>
  <c r="S18" i="16"/>
  <c r="S23" i="16" s="1"/>
  <c r="S9" i="17"/>
  <c r="BI10"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X12" i="17"/>
  <c r="L22" i="2"/>
  <c r="X22" i="16"/>
  <c r="S16" i="17"/>
  <c r="S17" i="17"/>
  <c r="L12" i="2"/>
  <c r="X19" i="16"/>
  <c r="X10" i="21"/>
  <c r="L20" i="2"/>
  <c r="U9" i="17"/>
  <c r="U31" i="17" s="1"/>
  <c r="V10" i="16"/>
  <c r="V9" i="16"/>
  <c r="X13" i="16"/>
  <c r="BF11" i="11"/>
  <c r="BH18" i="16"/>
  <c r="BI28" i="11"/>
  <c r="BF25" i="11"/>
  <c r="AZ29" i="11"/>
  <c r="V18" i="16"/>
  <c r="BG29" i="11"/>
  <c r="Q10" i="21"/>
  <c r="BK25" i="11"/>
  <c r="BH20" i="11"/>
  <c r="BG16" i="11"/>
  <c r="BH13" i="11"/>
  <c r="BH18" i="11"/>
  <c r="BM16" i="11"/>
  <c r="Q16" i="11" s="1"/>
  <c r="AO28" i="17"/>
  <c r="AZ16" i="11"/>
  <c r="AZ23" i="11" s="1"/>
  <c r="AZ26" i="11" s="1"/>
  <c r="BW19" i="20"/>
  <c r="X20" i="16"/>
  <c r="BW25" i="20"/>
  <c r="U13" i="17"/>
  <c r="BW29" i="20"/>
  <c r="BV29" i="16"/>
  <c r="BW21" i="20"/>
  <c r="AZ17" i="11"/>
  <c r="BI20" i="11"/>
  <c r="S18" i="17"/>
  <c r="BH12" i="16"/>
  <c r="BI9" i="11"/>
  <c r="BL10" i="11"/>
  <c r="BH11" i="11"/>
  <c r="BM9" i="11"/>
  <c r="BJ17" i="11"/>
  <c r="BJ23" i="11" s="1"/>
  <c r="BL17" i="11"/>
  <c r="BH22" i="11"/>
  <c r="L28" i="2"/>
  <c r="L17" i="2"/>
  <c r="AA11" i="16"/>
  <c r="BL28" i="11"/>
  <c r="BH10" i="16"/>
  <c r="BK22" i="11"/>
  <c r="L10" i="2"/>
  <c r="X21" i="20"/>
  <c r="L16" i="2"/>
  <c r="L18" i="2"/>
  <c r="X16" i="16"/>
  <c r="X23" i="16" s="1"/>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L31" i="21"/>
  <c r="E31" i="2"/>
  <c r="AA31" i="1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<sst xmlns="http://schemas.openxmlformats.org/spreadsheetml/2006/main" count="2682" uniqueCount="1192">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</sst>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DKGWRI1HqYly17Q/eKE8mPzYN8lLqoZOrANM7n2LZaH2QD1+nUW1UmO7GPQQQj8huLdnDIezXAXiWqW1iBBA==" saltValue="Uk2eGm2HX2ixQECVwKZm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28</v>
      </c>
      <c r="F10" s="240">
        <f>IF(ISNUMBER(Datos!K10),Datos!K10," - ")</f>
        <v>30</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28.145129224652088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28</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1381</v>
      </c>
      <c r="D17" s="239">
        <f>IF(ISNUMBER(IF(D_I="SI",Datos!I17,Datos!I17+Datos!AC17)),IF(D_I="SI",Datos!I17,Datos!I17+Datos!AC17)," - ")</f>
        <v>1346</v>
      </c>
      <c r="E17" s="240">
        <f>IF(ISNUMBER(IF(D_I="SI",Datos!J17,Datos!J17+Datos!AD17)),IF(D_I="SI",Datos!J17,Datos!J17+Datos!AD17)," - ")</f>
        <v>2347</v>
      </c>
      <c r="F17" s="240">
        <f>IF(ISNUMBER(IF(D_I="SI",Datos!K17,Datos!K17+Datos!AE17)),IF(D_I="SI",Datos!K17,Datos!K17+Datos!AE17)," - ")</f>
        <v>2292</v>
      </c>
      <c r="G17" s="1390" t="str">
        <f>IF(Datos!E17&lt;&gt;"",Datos!E17,Datos!D17)</f>
        <v>04</v>
      </c>
      <c r="H17" s="241">
        <f>IF(ISNUMBER(IF(D_I="SI",Datos!L17,Datos!L17+Datos!AF17)),IF(D_I="SI",Datos!L17,Datos!L17+Datos!AF17)," - ")</f>
        <v>1436</v>
      </c>
      <c r="I17" s="1400" t="str">
        <f>IF(ISNUMBER(Datos!AS17/Datos!BM17),Datos!AS17/Datos!BM17," - ")</f>
        <v xml:space="preserve"> - </v>
      </c>
      <c r="J17" s="1401">
        <f>IF(ISNUMBER(Datos!BY17/Datos!CN17),Datos!BY17/Datos!CN17," - ")</f>
        <v>0</v>
      </c>
      <c r="K17" s="244">
        <f t="shared" si="3"/>
        <v>3.9826212889210719E-2</v>
      </c>
      <c r="L17" s="1402">
        <f>IF(ISNUMBER(NºAsuntos!I17/NºAsuntos!G17),(NºAsuntos!I17/NºAsuntos!G17)*11," - ")</f>
        <v>6.8917975567190233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32</v>
      </c>
      <c r="E18" s="240">
        <f>IF(ISNUMBER(IF(D_I="SI",Datos!J18,Datos!J18+Datos!AD18)),IF(D_I="SI",Datos!J18,Datos!J18+Datos!AD18)," - ")</f>
        <v>321</v>
      </c>
      <c r="F18" s="240">
        <f>IF(ISNUMBER(IF(D_I="SI",Datos!K18,Datos!K18+Datos!AE18)),IF(D_I="SI",Datos!K18,Datos!K18+Datos!AE18)," - ")</f>
        <v>313</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0.25806451612903225</v>
      </c>
      <c r="L18" s="1402">
        <f>IF(ISNUMBER(NºAsuntos!I18/NºAsuntos!G18),(NºAsuntos!I18/NºAsuntos!G18)*11," - ")</f>
        <v>1.3706070287539935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1412</v>
      </c>
      <c r="D23" s="1407">
        <f>SUBTOTAL(9,D16:D22)</f>
        <v>1378</v>
      </c>
      <c r="E23" s="1408">
        <f>SUBTOTAL(9,E16:E22)</f>
        <v>2668</v>
      </c>
      <c r="F23" s="1408">
        <f>SUBTOTAL(9,F16:F22)</f>
        <v>2605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1438</v>
      </c>
      <c r="D31" s="1435">
        <f>SUBTOTAL(9,D9:D30)</f>
        <v>1404</v>
      </c>
      <c r="E31" s="1436">
        <f>SUBTOTAL(9,E9:E30)</f>
        <v>2696</v>
      </c>
      <c r="F31" s="1436">
        <f>SUBTOTAL(9,F9:F30)</f>
        <v>2635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CCwxdwyZ3NRTSAcVGPqSbI5fAQSnDdlQNVr988MY+8V1nwp46SRqnZEwR5sQEajcDIa4r8/aVhWLNvMd9AGDA==" saltValue="JtSxfpIY+rT9lQr7Z+qN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aPjiVT7LcJ+VSZhDzWXRD/cofiw2/hsduRGVNQQA4QG8/WcqN2aplsw3Y5VWrSyHcSGiltEDOWAWCUEhDHDrw==" saltValue="iBQLaEEM89aqXIJBSmBm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28</v>
      </c>
      <c r="K10" s="194">
        <v>30</v>
      </c>
      <c r="L10" s="194">
        <v>24</v>
      </c>
      <c r="M10" s="194">
        <v>14</v>
      </c>
      <c r="N10" s="194">
        <v>33</v>
      </c>
      <c r="O10" s="194">
        <v>3</v>
      </c>
      <c r="P10" s="194">
        <v>12</v>
      </c>
      <c r="Q10" s="194">
        <v>20</v>
      </c>
      <c r="R10" s="194">
        <v>59</v>
      </c>
      <c r="S10" s="194">
        <v>80</v>
      </c>
      <c r="T10" s="194">
        <v>43</v>
      </c>
      <c r="U10" s="194">
        <v>54</v>
      </c>
      <c r="V10" s="194">
        <v>69</v>
      </c>
      <c r="W10" s="194">
        <v>22</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80</v>
      </c>
      <c r="AZ10" s="139">
        <f t="shared" si="0"/>
        <v>43</v>
      </c>
      <c r="BA10" s="139">
        <f t="shared" si="0"/>
        <v>54</v>
      </c>
      <c r="BB10" s="139">
        <f t="shared" si="0"/>
        <v>69</v>
      </c>
      <c r="BC10" s="135">
        <f t="shared" si="0"/>
        <v>22</v>
      </c>
      <c r="BD10" s="136">
        <f>IF(ISNUMBER(BA10/AZ10),BA10/AZ10," - ")</f>
        <v>1.2558139534883721</v>
      </c>
      <c r="BE10" s="137">
        <f>IF(ISNUMBER(BB10/BA10),BB10/BA10, " - ")</f>
        <v>1.2777777777777777</v>
      </c>
      <c r="BF10" s="137">
        <f>IF(ISNUMBER(BC10/BA10),BC10/BA10, " - ")</f>
        <v>0.40740740740740738</v>
      </c>
      <c r="BG10" s="209">
        <f>IF(ISNUMBER((AY10+AZ10)/BA10),(AY10+AZ10)/BA10," - ")</f>
        <v>2.2777777777777777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3457</v>
      </c>
      <c r="J12" s="196">
        <v>1607</v>
      </c>
      <c r="K12" s="196">
        <v>1373</v>
      </c>
      <c r="L12" s="196">
        <v>3691</v>
      </c>
      <c r="M12" s="196">
        <v>335</v>
      </c>
      <c r="N12" s="196">
        <v>729</v>
      </c>
      <c r="O12" s="194">
        <v>468</v>
      </c>
      <c r="P12" s="196">
        <v>290</v>
      </c>
      <c r="Q12" s="196">
        <v>224</v>
      </c>
      <c r="R12" s="196">
        <v>6355</v>
      </c>
      <c r="S12" s="196">
        <v>2954</v>
      </c>
      <c r="T12" s="196">
        <v>1663</v>
      </c>
      <c r="U12" s="196">
        <v>1647</v>
      </c>
      <c r="V12" s="196">
        <v>2970</v>
      </c>
      <c r="W12" s="196">
        <v>378</v>
      </c>
      <c r="X12" s="202">
        <v>964</v>
      </c>
      <c r="Y12" s="204">
        <v>157</v>
      </c>
      <c r="Z12" s="194">
        <v>149</v>
      </c>
      <c r="AA12" s="194">
        <v>136</v>
      </c>
      <c r="AB12" s="194">
        <v>170</v>
      </c>
      <c r="AC12" s="196">
        <v>0</v>
      </c>
      <c r="AD12" s="196">
        <v>0</v>
      </c>
      <c r="AE12" s="196">
        <v>0</v>
      </c>
      <c r="AF12" s="202">
        <v>0</v>
      </c>
      <c r="AG12" s="215">
        <v>146</v>
      </c>
      <c r="AH12" s="196">
        <v>186</v>
      </c>
      <c r="AI12" s="196">
        <v>194</v>
      </c>
      <c r="AJ12" s="216">
        <v>138</v>
      </c>
      <c r="AK12" s="195">
        <v>0</v>
      </c>
      <c r="AL12" s="196">
        <v>0</v>
      </c>
      <c r="AM12" s="196">
        <v>0</v>
      </c>
      <c r="AN12" s="202">
        <v>0</v>
      </c>
      <c r="AO12" s="283">
        <v>6</v>
      </c>
      <c r="AP12" s="168">
        <v>6</v>
      </c>
      <c r="AQ12" s="168">
        <v>6</v>
      </c>
      <c r="AR12" s="167">
        <v>6</v>
      </c>
      <c r="AS12" s="381" t="s">
        <v>1075</v>
      </c>
      <c r="AT12" s="216"/>
      <c r="AU12" s="215"/>
      <c r="AV12" s="216"/>
      <c r="AW12" s="215"/>
      <c r="AX12" s="216"/>
      <c r="AY12" s="136">
        <f t="shared" si="1"/>
        <v>3100</v>
      </c>
      <c r="AZ12" s="137">
        <f t="shared" si="1"/>
        <v>1849</v>
      </c>
      <c r="BA12" s="137">
        <f t="shared" si="1"/>
        <v>1841</v>
      </c>
      <c r="BB12" s="137">
        <f t="shared" si="1"/>
        <v>3108</v>
      </c>
      <c r="BC12" s="135">
        <f>IF(ISNUMBER(X12),X12," - ")</f>
        <v>964</v>
      </c>
      <c r="BD12" s="136">
        <f t="shared" si="2"/>
        <v>0.99567333693888593</v>
      </c>
      <c r="BE12" s="137">
        <f t="shared" si="3"/>
        <v>1.688212927756654</v>
      </c>
      <c r="BF12" s="137">
        <f t="shared" si="4"/>
        <v>0.52362846279196085</v>
      </c>
      <c r="BG12" s="209">
        <f t="shared" si="5"/>
        <v>2.6882129277566542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3483</v>
      </c>
      <c r="J14" s="197">
        <f t="shared" si="7"/>
        <v>1635</v>
      </c>
      <c r="K14" s="197">
        <f t="shared" si="7"/>
        <v>1403</v>
      </c>
      <c r="L14" s="197">
        <f t="shared" si="7"/>
        <v>3715</v>
      </c>
      <c r="M14" s="197">
        <f t="shared" si="7"/>
        <v>349</v>
      </c>
      <c r="N14" s="197">
        <f t="shared" si="7"/>
        <v>762</v>
      </c>
      <c r="O14" s="197">
        <f t="shared" si="7"/>
        <v>471</v>
      </c>
      <c r="P14" s="197">
        <f t="shared" si="7"/>
        <v>302</v>
      </c>
      <c r="Q14" s="197">
        <f t="shared" si="7"/>
        <v>244</v>
      </c>
      <c r="R14" s="197">
        <f t="shared" si="7"/>
        <v>6414</v>
      </c>
      <c r="S14" s="197">
        <f t="shared" si="7"/>
        <v>3034</v>
      </c>
      <c r="T14" s="197">
        <f t="shared" si="7"/>
        <v>1706</v>
      </c>
      <c r="U14" s="197">
        <f t="shared" si="7"/>
        <v>1701</v>
      </c>
      <c r="V14" s="197">
        <f t="shared" si="7"/>
        <v>3039</v>
      </c>
      <c r="W14" s="197">
        <f t="shared" si="7"/>
        <v>400</v>
      </c>
      <c r="X14" s="197">
        <f t="shared" si="7"/>
        <v>984</v>
      </c>
      <c r="Y14" s="197">
        <f t="shared" si="7"/>
        <v>157</v>
      </c>
      <c r="Z14" s="197">
        <f t="shared" si="7"/>
        <v>149</v>
      </c>
      <c r="AA14" s="197">
        <f t="shared" si="7"/>
        <v>136</v>
      </c>
      <c r="AB14" s="197">
        <f t="shared" si="7"/>
        <v>170</v>
      </c>
      <c r="AC14" s="197">
        <f t="shared" si="7"/>
        <v>0</v>
      </c>
      <c r="AD14" s="197">
        <f t="shared" si="7"/>
        <v>0</v>
      </c>
      <c r="AE14" s="197">
        <f t="shared" si="7"/>
        <v>0</v>
      </c>
      <c r="AF14" s="197">
        <f>SUBTOTAL(9,AF9:AF13)</f>
        <v>0</v>
      </c>
      <c r="AG14" s="197">
        <f t="shared" ref="AG14:AT14" si="8">SUBTOTAL(9,AG8:AG13)</f>
        <v>146</v>
      </c>
      <c r="AH14" s="197">
        <f t="shared" si="8"/>
        <v>186</v>
      </c>
      <c r="AI14" s="197">
        <f t="shared" si="8"/>
        <v>194</v>
      </c>
      <c r="AJ14" s="197">
        <f t="shared" si="8"/>
        <v>138</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3180</v>
      </c>
      <c r="AZ14" s="197">
        <f>SUBTOTAL(9,AZ8:AZ13)</f>
        <v>1892</v>
      </c>
      <c r="BA14" s="197">
        <f>SUBTOTAL(9,BA8:BA13)</f>
        <v>1895</v>
      </c>
      <c r="BB14" s="197">
        <f>SUBTOTAL(9,BB8:BB13)</f>
        <v>3177</v>
      </c>
      <c r="BC14" s="197">
        <f>SUBTOTAL(9,BC8:BC13)</f>
        <v>986</v>
      </c>
      <c r="BD14" s="219">
        <f>IF(ISNUMBER(BA14/AZ14),BA14/AZ14," - ")</f>
        <v>1.0015856236786469</v>
      </c>
      <c r="BE14" s="220">
        <f>IF(ISNUMBER(BB14/BA14),BB14/BA14, " - ")</f>
        <v>1.6765171503957783</v>
      </c>
      <c r="BF14" s="220">
        <f>IF(ISNUMBER(BC14/BA14),BC14/BA14, " - ")</f>
        <v>0.52031662269129286</v>
      </c>
      <c r="BG14" s="221">
        <f>IF(ISNUMBER((AY14+AZ14)/BA14),(AY14+AZ14)/BA14," - ")</f>
        <v>2.6765171503957785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1346</v>
      </c>
      <c r="J17" s="196">
        <v>2347</v>
      </c>
      <c r="K17" s="196">
        <v>2292</v>
      </c>
      <c r="L17" s="196">
        <v>1436</v>
      </c>
      <c r="M17" s="196">
        <v>171</v>
      </c>
      <c r="N17" s="196">
        <v>1509</v>
      </c>
      <c r="O17" s="194">
        <v>1</v>
      </c>
      <c r="P17" s="196">
        <v>58</v>
      </c>
      <c r="Q17" s="196">
        <v>33</v>
      </c>
      <c r="R17" s="196">
        <v>285</v>
      </c>
      <c r="S17" s="196">
        <v>1524</v>
      </c>
      <c r="T17" s="196">
        <v>1984</v>
      </c>
      <c r="U17" s="196">
        <v>2161</v>
      </c>
      <c r="V17" s="196">
        <v>1391</v>
      </c>
      <c r="W17" s="196">
        <v>243</v>
      </c>
      <c r="X17" s="202">
        <v>1301</v>
      </c>
      <c r="Y17" s="215">
        <v>0</v>
      </c>
      <c r="Z17" s="196">
        <v>0</v>
      </c>
      <c r="AA17" s="196">
        <v>0</v>
      </c>
      <c r="AB17" s="196">
        <v>0</v>
      </c>
      <c r="AC17" s="196">
        <v>11</v>
      </c>
      <c r="AD17" s="196">
        <v>17</v>
      </c>
      <c r="AE17" s="196">
        <v>18</v>
      </c>
      <c r="AF17" s="202">
        <v>10</v>
      </c>
      <c r="AG17" s="215">
        <v>0</v>
      </c>
      <c r="AH17" s="196">
        <v>0</v>
      </c>
      <c r="AI17" s="196">
        <v>0</v>
      </c>
      <c r="AJ17" s="216">
        <v>0</v>
      </c>
      <c r="AK17" s="195">
        <v>1</v>
      </c>
      <c r="AL17" s="196">
        <v>46</v>
      </c>
      <c r="AM17" s="196">
        <v>44</v>
      </c>
      <c r="AN17" s="202">
        <v>3</v>
      </c>
      <c r="AO17" s="283">
        <v>6</v>
      </c>
      <c r="AP17" s="168">
        <v>6</v>
      </c>
      <c r="AQ17" s="168">
        <v>6</v>
      </c>
      <c r="AR17" s="168">
        <v>6</v>
      </c>
      <c r="AS17" s="381" t="s">
        <v>650</v>
      </c>
      <c r="AT17" s="216"/>
      <c r="AU17" s="215"/>
      <c r="AV17" s="216"/>
      <c r="AW17" s="215"/>
      <c r="AX17" s="216"/>
      <c r="AY17" s="136">
        <f t="shared" si="10"/>
        <v>1524</v>
      </c>
      <c r="AZ17" s="137">
        <f t="shared" si="10"/>
        <v>1984</v>
      </c>
      <c r="BA17" s="137">
        <f t="shared" si="10"/>
        <v>2161</v>
      </c>
      <c r="BB17" s="137">
        <f t="shared" si="10"/>
        <v>1391</v>
      </c>
      <c r="BC17" s="135">
        <f>IF(ISNUMBER(W17),W17," - ")</f>
        <v>243</v>
      </c>
      <c r="BD17" s="136">
        <f t="shared" ref="BD17:BD22" si="12">IF(ISNUMBER(BA17/AZ17),BA17/AZ17," - ")</f>
        <v>1.0892137096774193</v>
      </c>
      <c r="BE17" s="137">
        <f t="shared" ref="BE17:BE22" si="13">IF(ISNUMBER(BB17/BA17),BB17/BA17, " - ")</f>
        <v>0.6436834798704304</v>
      </c>
      <c r="BF17" s="137">
        <f t="shared" ref="BF17:BF22" si="14">IF(ISNUMBER(BC17/BA17),BC17/BA17, " - ")</f>
        <v>0.11244794076816289</v>
      </c>
      <c r="BG17" s="209">
        <f t="shared" si="11"/>
        <v>1.6233225358630263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321</v>
      </c>
      <c r="K18" s="196">
        <v>313</v>
      </c>
      <c r="L18" s="196">
        <v>39</v>
      </c>
      <c r="M18" s="196">
        <v>12</v>
      </c>
      <c r="N18" s="196">
        <v>213</v>
      </c>
      <c r="O18" s="196">
        <v>0</v>
      </c>
      <c r="P18" s="196">
        <v>2</v>
      </c>
      <c r="Q18" s="196">
        <v>0</v>
      </c>
      <c r="R18" s="196">
        <v>6</v>
      </c>
      <c r="S18" s="196">
        <v>115</v>
      </c>
      <c r="T18" s="196">
        <v>317</v>
      </c>
      <c r="U18" s="196">
        <v>343</v>
      </c>
      <c r="V18" s="196">
        <v>91</v>
      </c>
      <c r="W18" s="196">
        <v>20</v>
      </c>
      <c r="X18" s="202">
        <v>185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115</v>
      </c>
      <c r="AZ18" s="139">
        <f t="shared" si="15"/>
        <v>317</v>
      </c>
      <c r="BA18" s="139">
        <f t="shared" si="15"/>
        <v>343</v>
      </c>
      <c r="BB18" s="139">
        <f t="shared" si="15"/>
        <v>91</v>
      </c>
      <c r="BC18" s="135">
        <f>IF(ISNUMBER(W18),W18," - ")</f>
        <v>20</v>
      </c>
      <c r="BD18" s="136">
        <f>IF(ISNUMBER(BA18/AZ18),BA18/AZ18," - ")</f>
        <v>1.0820189274447949</v>
      </c>
      <c r="BE18" s="137">
        <f>IF(ISNUMBER(BB18/BA18),BB18/BA18, " - ")</f>
        <v>0.26530612244897961</v>
      </c>
      <c r="BF18" s="137">
        <f>IF(ISNUMBER(BC18/BA18),BC18/BA18, " - ")</f>
        <v>5.8309037900874633E-2</v>
      </c>
      <c r="BG18" s="209">
        <f>IF(ISNUMBER((AY18+AZ18)/BA18),(AY18+AZ18)/BA18," - ")</f>
        <v>1.2594752186588922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1378</v>
      </c>
      <c r="J23" s="197">
        <f t="shared" si="21"/>
        <v>2668</v>
      </c>
      <c r="K23" s="197">
        <f t="shared" si="21"/>
        <v>2605</v>
      </c>
      <c r="L23" s="197">
        <f t="shared" si="21"/>
        <v>1475</v>
      </c>
      <c r="M23" s="197">
        <f t="shared" si="21"/>
        <v>183</v>
      </c>
      <c r="N23" s="197">
        <f t="shared" si="21"/>
        <v>1722</v>
      </c>
      <c r="O23" s="197">
        <f t="shared" si="21"/>
        <v>1</v>
      </c>
      <c r="P23" s="197">
        <f t="shared" si="21"/>
        <v>60</v>
      </c>
      <c r="Q23" s="197">
        <f t="shared" si="21"/>
        <v>33</v>
      </c>
      <c r="R23" s="197">
        <f t="shared" si="21"/>
        <v>291</v>
      </c>
      <c r="S23" s="197">
        <f t="shared" si="21"/>
        <v>1639</v>
      </c>
      <c r="T23" s="197">
        <f t="shared" si="21"/>
        <v>2301</v>
      </c>
      <c r="U23" s="197">
        <f t="shared" si="21"/>
        <v>2504</v>
      </c>
      <c r="V23" s="197">
        <f t="shared" si="21"/>
        <v>1482</v>
      </c>
      <c r="W23" s="197">
        <f t="shared" si="21"/>
        <v>263</v>
      </c>
      <c r="X23" s="197">
        <f t="shared" si="21"/>
        <v>1486</v>
      </c>
      <c r="Y23" s="197">
        <f t="shared" si="21"/>
        <v>0</v>
      </c>
      <c r="Z23" s="197">
        <f t="shared" si="21"/>
        <v>0</v>
      </c>
      <c r="AA23" s="197">
        <f t="shared" si="21"/>
        <v>0</v>
      </c>
      <c r="AB23" s="197">
        <f t="shared" si="21"/>
        <v>0</v>
      </c>
      <c r="AC23" s="197">
        <f t="shared" si="21"/>
        <v>11</v>
      </c>
      <c r="AD23" s="197">
        <f t="shared" si="21"/>
        <v>17</v>
      </c>
      <c r="AE23" s="197">
        <f t="shared" si="21"/>
        <v>18</v>
      </c>
      <c r="AF23" s="197">
        <f t="shared" si="21"/>
        <v>10</v>
      </c>
      <c r="AG23" s="197">
        <f t="shared" si="21"/>
        <v>0</v>
      </c>
      <c r="AH23" s="197">
        <f t="shared" si="21"/>
        <v>0</v>
      </c>
      <c r="AI23" s="197">
        <f t="shared" si="21"/>
        <v>0</v>
      </c>
      <c r="AJ23" s="197">
        <f t="shared" si="21"/>
        <v>0</v>
      </c>
      <c r="AK23" s="197">
        <f t="shared" si="21"/>
        <v>1</v>
      </c>
      <c r="AL23" s="197">
        <f t="shared" si="21"/>
        <v>46</v>
      </c>
      <c r="AM23" s="197">
        <f t="shared" si="21"/>
        <v>44</v>
      </c>
      <c r="AN23" s="197">
        <f t="shared" si="21"/>
        <v>3</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1639</v>
      </c>
      <c r="AZ23" s="197">
        <f>SUBTOTAL(9,AZ15:AZ22)</f>
        <v>2301</v>
      </c>
      <c r="BA23" s="197">
        <f>SUBTOTAL(9,BA15:BA22)</f>
        <v>2504</v>
      </c>
      <c r="BB23" s="197">
        <f>SUBTOTAL(9,BB15:BB22)</f>
        <v>1482</v>
      </c>
      <c r="BC23" s="197">
        <f>SUBTOTAL(9,BC15:BC22)</f>
        <v>263</v>
      </c>
      <c r="BD23" s="219">
        <f>IF(ISNUMBER(BA23/AZ23),BA23/AZ23," - ")</f>
        <v>1.0882225119513256</v>
      </c>
      <c r="BE23" s="220">
        <f>IF(ISNUMBER(BB23/BA23),BB23/BA23, " - ")</f>
        <v>0.59185303514376997</v>
      </c>
      <c r="BF23" s="220">
        <f>IF(ISNUMBER(BC23/BA23),BC23/BA23, " - ")</f>
        <v>0.10503194888178914</v>
      </c>
      <c r="BG23" s="221">
        <f>IF(ISNUMBER((AY23+AZ23)/BA23),(AY23+AZ23)/BA23," - ")</f>
        <v>1.5734824281150159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4861</v>
      </c>
      <c r="J31" s="144">
        <f t="shared" si="36"/>
        <v>4303</v>
      </c>
      <c r="K31" s="144">
        <f t="shared" si="36"/>
        <v>4008</v>
      </c>
      <c r="L31" s="144">
        <f t="shared" si="36"/>
        <v>5190</v>
      </c>
      <c r="M31" s="144">
        <f t="shared" si="36"/>
        <v>532</v>
      </c>
      <c r="N31" s="144">
        <f t="shared" si="36"/>
        <v>2484</v>
      </c>
      <c r="O31" s="144">
        <f t="shared" si="36"/>
        <v>472</v>
      </c>
      <c r="P31" s="144">
        <f t="shared" si="36"/>
        <v>362</v>
      </c>
      <c r="Q31" s="144">
        <f t="shared" si="36"/>
        <v>277</v>
      </c>
      <c r="R31" s="144">
        <f t="shared" si="36"/>
        <v>6705</v>
      </c>
      <c r="S31" s="144">
        <f t="shared" si="36"/>
        <v>4673</v>
      </c>
      <c r="T31" s="144">
        <f t="shared" si="36"/>
        <v>4007</v>
      </c>
      <c r="U31" s="144">
        <f t="shared" si="36"/>
        <v>4205</v>
      </c>
      <c r="V31" s="144">
        <f t="shared" si="36"/>
        <v>4521</v>
      </c>
      <c r="W31" s="144">
        <f t="shared" si="36"/>
        <v>663</v>
      </c>
      <c r="X31" s="144">
        <f t="shared" si="36"/>
        <v>2470</v>
      </c>
      <c r="Y31" s="144">
        <f t="shared" si="36"/>
        <v>157</v>
      </c>
      <c r="Z31" s="144">
        <f t="shared" si="36"/>
        <v>149</v>
      </c>
      <c r="AA31" s="144">
        <f t="shared" si="36"/>
        <v>136</v>
      </c>
      <c r="AB31" s="144">
        <f t="shared" si="36"/>
        <v>170</v>
      </c>
      <c r="AC31" s="144">
        <f t="shared" si="36"/>
        <v>11</v>
      </c>
      <c r="AD31" s="144">
        <f t="shared" si="36"/>
        <v>17</v>
      </c>
      <c r="AE31" s="144">
        <f t="shared" si="36"/>
        <v>18</v>
      </c>
      <c r="AF31" s="144">
        <f t="shared" si="36"/>
        <v>10</v>
      </c>
      <c r="AG31" s="144">
        <f t="shared" si="36"/>
        <v>146</v>
      </c>
      <c r="AH31" s="144">
        <f t="shared" si="36"/>
        <v>186</v>
      </c>
      <c r="AI31" s="144">
        <f t="shared" si="36"/>
        <v>194</v>
      </c>
      <c r="AJ31" s="144">
        <f t="shared" si="36"/>
        <v>138</v>
      </c>
      <c r="AK31" s="144">
        <f t="shared" si="36"/>
        <v>1</v>
      </c>
      <c r="AL31" s="144">
        <f t="shared" si="36"/>
        <v>46</v>
      </c>
      <c r="AM31" s="144">
        <f t="shared" si="36"/>
        <v>44</v>
      </c>
      <c r="AN31" s="224">
        <f t="shared" si="36"/>
        <v>3</v>
      </c>
      <c r="AO31" s="225">
        <v>7</v>
      </c>
      <c r="AP31" s="225">
        <v>7</v>
      </c>
      <c r="AQ31" s="225">
        <v>7</v>
      </c>
      <c r="AR31" s="225">
        <v>7</v>
      </c>
      <c r="AS31" s="166">
        <f t="shared" si="36"/>
        <v>0</v>
      </c>
      <c r="AT31" s="166">
        <f t="shared" si="36"/>
        <v>0</v>
      </c>
      <c r="AU31" s="225"/>
      <c r="AV31" s="226"/>
      <c r="AW31" s="225"/>
      <c r="AX31" s="226"/>
      <c r="AY31" s="143">
        <f>SUBTOTAL(9,AY9:AY30)</f>
        <v>4819</v>
      </c>
      <c r="AZ31" s="144">
        <f>SUBTOTAL(9,AZ9:AZ30)</f>
        <v>4193</v>
      </c>
      <c r="BA31" s="144">
        <f>SUBTOTAL(9,BA9:BA30)</f>
        <v>4399</v>
      </c>
      <c r="BB31" s="144">
        <f>SUBTOTAL(9,BB9:BB30)</f>
        <v>4659</v>
      </c>
      <c r="BC31" s="145">
        <f>SUBTOTAL(9,BC9:BC30)</f>
        <v>1249</v>
      </c>
      <c r="BD31" s="227">
        <f>IF(ISNUMBER(BA31/AZ31),BA31/AZ31," - ")</f>
        <v>1.0491295015502027</v>
      </c>
      <c r="BE31" s="224">
        <f>IF(ISNUMBER(BB31/BA31),BB31/BA31, " - ")</f>
        <v>1.0591043418958854</v>
      </c>
      <c r="BF31" s="224">
        <f>IF(ISNUMBER(BC31/BA31),BC31/BA31, " - ")</f>
        <v>0.28392816549215733</v>
      </c>
      <c r="BG31" s="145">
        <f>IF(ISNUMBER((AY31+AZ31)/BA31),(AY31+AZ31)/BA31," - ")</f>
        <v>2.0486474198681517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aPhU+LjXO9HxVvoPCe7IQ0uWuAIDDNF90g7Et5rKIdrBFWERZ6ubEKmoFRIIir+ygMZyrxnzm01ZIhQHZrrg==" saltValue="Z0Bmbv+g3s+Roap6goGn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SdtMTpIs5v0IR4a4CZeJTdJ0Xea3WCsX2P/qFljtEAyOMWwcQiLdlP8QuuaA4XEbD9G0BoqZNZ4Gb4zmd9WVw==" saltValue="4s2RDj5+px8F4rwIdEmo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COSLADA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20</v>
      </c>
      <c r="AD10" s="549"/>
      <c r="AE10" s="563"/>
      <c r="AF10" s="551">
        <f>IF(ISNUMBER(Datos!L10),Datos!L10,"-")</f>
        <v>24</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33</v>
      </c>
      <c r="BE10" s="693" t="str">
        <f>IF(ISNUMBER(Datos!BW10),Datos!BW10," - ")</f>
        <v xml:space="preserve"> - </v>
      </c>
      <c r="BF10" s="762" t="str">
        <f>IF(ISNUMBER(Datos!BX10),Datos!BX10," - ")</f>
        <v xml:space="preserve"> - </v>
      </c>
      <c r="BG10" s="763">
        <f>IF(ISNUMBER(Datos!K10/Datos!J10),Datos!K10/Datos!J10," - ")</f>
        <v>1.0714285714285714</v>
      </c>
      <c r="BH10" s="764">
        <f>IF(ISNUMBER(((Datos!L10/Datos!K10)*11)/factor_trimestre),((Datos!L10/Datos!K10)*11)/factor_trimestre," - ")</f>
        <v>2.4000000000000004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-0.11940298507462686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149</v>
      </c>
      <c r="O12" s="549"/>
      <c r="P12" s="549"/>
      <c r="Q12" s="547">
        <f>IF(ISNUMBER(Datos!P12),Datos!P12,0)</f>
        <v>290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170</v>
      </c>
      <c r="AI12" s="549" t="str">
        <f>IF(ISNUMBER(Datos!CD12),Datos!CD12,"-")</f>
        <v>-</v>
      </c>
      <c r="AJ12" s="549" t="str">
        <f>IF(ISNUMBER(Datos!EN12),Datos!EN12," - ")</f>
        <v xml:space="preserve"> - </v>
      </c>
      <c r="AK12" s="549"/>
      <c r="AL12" s="550"/>
      <c r="AM12" s="766">
        <f>IF(ISNUMBER(Datos!R12),Datos!R12," - ")</f>
        <v>6355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335</v>
      </c>
      <c r="BD12" s="693">
        <f>IF(ISNUMBER(Datos!N12),Datos!N12," - ")</f>
        <v>729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0.85933940774487472</v>
      </c>
      <c r="BH12" s="764">
        <f>IF(ISNUMBER(((IF(J_V="SI",Datos!L12/Datos!K12,(Datos!L12+Datos!AB12)/(Datos!K12+Datos!AA12)))*11)/factor_trimestre),((IF(J_V="SI",Datos!L12/Datos!K12,(Datos!L12+Datos!AB12)/(Datos!K12+Datos!AA12)))*11)/factor_trimestre," - ")</f>
        <v>7.675944333996024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1.0494514231197329E-2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149</v>
      </c>
      <c r="O14" s="1199">
        <f t="shared" si="1"/>
        <v>0</v>
      </c>
      <c r="P14" s="1199">
        <f t="shared" si="1"/>
        <v>0</v>
      </c>
      <c r="Q14" s="1198">
        <f t="shared" si="1"/>
        <v>302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244</v>
      </c>
      <c r="AD14" s="1198">
        <f t="shared" si="2"/>
        <v>0</v>
      </c>
      <c r="AE14" s="1198">
        <f t="shared" si="2"/>
        <v>0</v>
      </c>
      <c r="AF14" s="1198">
        <f t="shared" si="2"/>
        <v>24</v>
      </c>
      <c r="AG14" s="1198">
        <f t="shared" si="2"/>
        <v>0</v>
      </c>
      <c r="AH14" s="1198">
        <f t="shared" si="2"/>
        <v>170</v>
      </c>
      <c r="AI14" s="1198">
        <f t="shared" si="2"/>
        <v>0</v>
      </c>
      <c r="AJ14" s="1198">
        <f t="shared" si="2"/>
        <v>0</v>
      </c>
      <c r="AK14" s="1198">
        <f t="shared" si="2"/>
        <v>0</v>
      </c>
      <c r="AL14" s="1198">
        <f t="shared" si="2"/>
        <v>0</v>
      </c>
      <c r="AM14" s="1198">
        <f t="shared" si="2"/>
        <v>6414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349</v>
      </c>
      <c r="BD14" s="1198">
        <f t="shared" si="2"/>
        <v>762</v>
      </c>
      <c r="BE14" s="1198">
        <f t="shared" si="2"/>
        <v>0</v>
      </c>
      <c r="BF14" s="1198">
        <f t="shared" si="2"/>
        <v>0</v>
      </c>
      <c r="BG14" s="1198">
        <f>IF(ISNUMBER(Datos!K14/Datos!J14),Datos!K14/Datos!J14," - ")</f>
        <v>0.85810397553516815</v>
      </c>
      <c r="BH14" s="1202">
        <f>IF(ISNUMBER(((Datos!L14/Datos!K14)*11)/factor_trimestre),((Datos!L14/Datos!K14)*11)/factor_trimestre," - ")</f>
        <v>7.9436920883820399</v>
      </c>
      <c r="BI14" s="1198">
        <f>IF(ISNUMBER('Resol  Asuntos'!D14/NºAsuntos!G14),'Resol  Asuntos'!D14/NºAsuntos!G14," - ")</f>
        <v>0.2267706302794022</v>
      </c>
      <c r="BJ14" s="1198" t="str">
        <f>IF(ISNUMBER(Datos!CI14/Datos!CJ14),Datos!CI14/Datos!CJ14," - ")</f>
        <v xml:space="preserve"> - </v>
      </c>
      <c r="BK14" s="1198">
        <f>SUBTOTAL(9,BK8:BK13)</f>
        <v>0</v>
      </c>
      <c r="BL14" s="1198">
        <f>IF(ISNUMBER((I14-AB14+L14)/(F14)),(I14-AB14+L14)/(F14)," - ")</f>
        <v>-1.1538461538461537</v>
      </c>
      <c r="BM14" s="1203">
        <f>SUBTOTAL(9,BM9:BM13)</f>
        <v>-0.10890847084342953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1381</v>
      </c>
      <c r="G17" s="743">
        <f>IF(ISNUMBER(IF(D_I="SI",Datos!I17,Datos!I17+Datos!AC17)),IF(D_I="SI",Datos!I17,Datos!I17+Datos!AC17)," - ")</f>
        <v>1346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2292</v>
      </c>
      <c r="AC17" s="240">
        <f>IF(ISNUMBER(Datos!Q17),Datos!Q17," - ")</f>
        <v>33</v>
      </c>
      <c r="AD17" s="374"/>
      <c r="AE17" s="562"/>
      <c r="AF17" s="741">
        <f>IF(ISNUMBER(IF(D_I="SI",Datos!L17,Datos!L17+Datos!AF17)),IF(D_I="SI",Datos!L17,Datos!L17+Datos!AF17)," - ")</f>
        <v>1436</v>
      </c>
      <c r="AG17" s="374"/>
      <c r="AH17" s="374"/>
      <c r="AI17" s="374"/>
      <c r="AJ17" s="549"/>
      <c r="AK17" s="374"/>
      <c r="AL17" s="545"/>
      <c r="AM17" s="375">
        <f>IF(ISNUMBER(Datos!R17),Datos!R17," - ")</f>
        <v>285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171</v>
      </c>
      <c r="BD17" s="243">
        <f>IF(ISNUMBER(Datos!N17),Datos!N17," - ")</f>
        <v>1509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0.97656582871751174</v>
      </c>
      <c r="BH17" s="764">
        <f>IF(ISNUMBER(((IF(D_I="SI",Datos!L17/Datos!K17,(Datos!L17+Datos!AF17)/(Datos!K17+Datos!AE17)))*11)/factor_trimestre),((IF(D_I="SI",Datos!L17/Datos!K17,(Datos!L17+Datos!AF17)/(Datos!K17+Datos!AE17)))*11)/factor_trimestre," - ")</f>
        <v>1.879581151832461</v>
      </c>
      <c r="BI17" s="266">
        <f>IF(ISNUMBER('Resol  Asuntos'!D17/NºAsuntos!G17),'Resol  Asuntos'!D17/NºAsuntos!G17," - ")</f>
        <v>7.4607329842931933E-2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313</v>
      </c>
      <c r="AC18" s="547">
        <f>IF(ISNUMBER(Datos!Q18),Datos!Q18," - ")</f>
        <v>0</v>
      </c>
      <c r="AD18" s="549"/>
      <c r="AE18" s="562"/>
      <c r="AF18" s="551">
        <f>IF(ISNUMBER(Datos!L18),Datos!L18,"-")</f>
        <v>39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0.97507788161993769</v>
      </c>
      <c r="BH18" s="764">
        <f>IF(ISNUMBER(((IF(D_I="SI",Datos!L18/Datos!K18,(Datos!L18+Datos!AF18)/(Datos!K18+Datos!AE18)))*11)/factor_trimestre),((IF(D_I="SI",Datos!L18/Datos!K18,(Datos!L18+Datos!AF18)/(Datos!K18+Datos!AE18)))*11)/factor_trimestre," - ")</f>
        <v>0.37380191693290732</v>
      </c>
      <c r="BI18" s="763">
        <f>IF(ISNUMBER('Resol  Asuntos'!D18/NºAsuntos!G18),'Resol  Asuntos'!D18/NºAsuntos!G18," - ")</f>
        <v>3.8338658146964855E-2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1381</v>
      </c>
      <c r="G23" s="1197">
        <f>SUBTOTAL(9,G16:G22)</f>
        <v>1378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2605</v>
      </c>
      <c r="AC23" s="1198">
        <f t="shared" si="5"/>
        <v>33</v>
      </c>
      <c r="AD23" s="1198">
        <f t="shared" si="5"/>
        <v>0</v>
      </c>
      <c r="AE23" s="1198">
        <f t="shared" si="5"/>
        <v>0</v>
      </c>
      <c r="AF23" s="1198">
        <f t="shared" si="5"/>
        <v>1475</v>
      </c>
      <c r="AG23" s="1198">
        <f t="shared" si="5"/>
        <v>0</v>
      </c>
      <c r="AH23" s="1198">
        <f t="shared" si="5"/>
        <v>0</v>
      </c>
      <c r="AI23" s="1198">
        <f t="shared" si="5"/>
        <v>0</v>
      </c>
      <c r="AJ23" s="1198">
        <f t="shared" si="5"/>
        <v>0</v>
      </c>
      <c r="AK23" s="1198">
        <f t="shared" si="5"/>
        <v>0</v>
      </c>
      <c r="AL23" s="1198">
        <f t="shared" si="5"/>
        <v>0</v>
      </c>
      <c r="AM23" s="1198">
        <f t="shared" si="5"/>
        <v>291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183</v>
      </c>
      <c r="BD23" s="1198">
        <f t="shared" si="5"/>
        <v>1722</v>
      </c>
      <c r="BE23" s="1198">
        <f t="shared" si="5"/>
        <v>0</v>
      </c>
      <c r="BF23" s="1198">
        <f t="shared" si="5"/>
        <v>0</v>
      </c>
      <c r="BG23" s="1198">
        <f>IF(ISNUMBER(Datos!K23/Datos!J23),Datos!K23/Datos!J23," - ")</f>
        <v>0.97638680659670163</v>
      </c>
      <c r="BH23" s="1202">
        <f>IF(ISNUMBER(((Datos!L23/Datos!K23)*11)/factor_trimestre),((Datos!L23/Datos!K23)*11)/factor_trimestre," - ")</f>
        <v>1.6986564299424183</v>
      </c>
      <c r="BI23" s="1198">
        <f>SUBTOTAL(9,BI16:BI22)</f>
        <v>0.11294598798989679</v>
      </c>
      <c r="BJ23" s="1198">
        <f>SUBTOTAL(9,BJ16:BJ22)</f>
        <v>0</v>
      </c>
      <c r="BK23" s="1198">
        <f>SUBTOTAL(9,BK16:BK22)</f>
        <v>0</v>
      </c>
      <c r="BL23" s="1198">
        <f>IF(ISNUMBER((I23-AB23+L23)/(F23)),(I23-AB23+L23)/(F23)," - ")</f>
        <v>-1.8863142650253439</v>
      </c>
      <c r="BM23" s="1205">
        <f>IF(ISNUMBER((Datos!P23-Datos!Q23)/(Datos!R23-Datos!P23+Datos!Q23)),(Datos!P23-Datos!Q23)/(Datos!R23-Datos!P23+Datos!Q23)," - ")</f>
        <v>0.10227272727272728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1407</v>
      </c>
      <c r="G31" s="1117">
        <f t="shared" si="18"/>
        <v>1404</v>
      </c>
      <c r="H31" s="1119">
        <f t="shared" si="18"/>
        <v>0</v>
      </c>
      <c r="I31" s="1117">
        <f t="shared" si="18"/>
        <v>0</v>
      </c>
      <c r="J31" s="1119">
        <f t="shared" si="18"/>
        <v>0</v>
      </c>
      <c r="K31" s="1119">
        <f t="shared" si="18"/>
        <v>0</v>
      </c>
      <c r="L31" s="1180">
        <f t="shared" si="18"/>
        <v>0</v>
      </c>
      <c r="M31" s="1180">
        <f t="shared" si="18"/>
        <v>0</v>
      </c>
      <c r="N31" s="1180">
        <f t="shared" si="18"/>
        <v>149</v>
      </c>
      <c r="O31" s="1180">
        <f t="shared" si="18"/>
        <v>0</v>
      </c>
      <c r="P31" s="1180">
        <f t="shared" si="18"/>
        <v>0</v>
      </c>
      <c r="Q31" s="1119">
        <f t="shared" si="18"/>
        <v>362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2635</v>
      </c>
      <c r="AC31" s="1118">
        <f t="shared" si="19"/>
        <v>277</v>
      </c>
      <c r="AD31" s="1118">
        <f t="shared" si="19"/>
        <v>0</v>
      </c>
      <c r="AE31" s="1118">
        <f t="shared" si="19"/>
        <v>0</v>
      </c>
      <c r="AF31" s="1125">
        <f t="shared" si="19"/>
        <v>1499</v>
      </c>
      <c r="AG31" s="1125">
        <f t="shared" si="19"/>
        <v>0</v>
      </c>
      <c r="AH31" s="1125">
        <f t="shared" si="19"/>
        <v>170</v>
      </c>
      <c r="AI31" s="1125">
        <f t="shared" si="19"/>
        <v>0</v>
      </c>
      <c r="AJ31" s="1118">
        <f t="shared" si="19"/>
        <v>0</v>
      </c>
      <c r="AK31" s="1125">
        <f t="shared" si="19"/>
        <v>0</v>
      </c>
      <c r="AL31" s="1125">
        <f t="shared" si="19"/>
        <v>0</v>
      </c>
      <c r="AM31" s="1125">
        <f t="shared" si="19"/>
        <v>6705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532</v>
      </c>
      <c r="BD31" s="1117">
        <f t="shared" si="19"/>
        <v>2484</v>
      </c>
      <c r="BE31" s="1117">
        <f t="shared" si="19"/>
        <v>0</v>
      </c>
      <c r="BF31" s="1127">
        <f t="shared" si="19"/>
        <v>0</v>
      </c>
      <c r="BG31" s="1223">
        <f>IF(ISNUMBER(Datos!K31/Datos!J31),Datos!K31/Datos!J31," - ")</f>
        <v>0.93144317917731811</v>
      </c>
      <c r="BH31" s="1223">
        <f>IF(ISNUMBER(((Datos!L31/Datos!K31)*11)/factor_trimestre),((Datos!L31/Datos!K31)*11)/factor_trimestre," - ")</f>
        <v>3.884730538922156</v>
      </c>
      <c r="BI31" s="1103">
        <f>IF(ISNUMBER(Datos!J31/Datos!I31),Datos!J31/Datos!I31," - ")</f>
        <v>0.88520880477268049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-1.8727789623312012</v>
      </c>
      <c r="BM31" s="1188">
        <f>IF(ISNUMBER((Datos!P31-Datos!Q31+R31)/(Datos!R31-Datos!P31+Datos!Q31-R31)),(Datos!P31-Datos!Q31+R31)/(Datos!R31-Datos!P31+Datos!Q31-R31)," - ")</f>
        <v>1.283987915407855E-2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2.6950246556825488</v>
      </c>
      <c r="F33" s="673">
        <f>IF(ISNUMBER(STDEV(F8:F30)),STDEV(F8:F30),"-")</f>
        <v>706.52784800034601</v>
      </c>
      <c r="G33" s="674">
        <f>IF(ISNUMBER(STDEV(G8:G30)),STDEV(G8:G30),"-")</f>
        <v>656.57785234538346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1167.0119149022471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149.08482724370617</v>
      </c>
      <c r="BD33" s="673"/>
      <c r="BE33" s="673">
        <f>IF(ISNUMBER(STDEV(BE8:BE30)),STDEV(BE8:BE30),"-")</f>
        <v>0</v>
      </c>
      <c r="BF33" s="678">
        <f>IF(ISNUMBER(STDEV(BF8:BF30)),STDEV(BF8:BF30),"-")</f>
        <v>0</v>
      </c>
      <c r="BG33" s="1052">
        <f>IF(ISNUMBER(STDEV(BG8:BG30)),STDEV(BG8:BG30),"-")</f>
        <v>8.1721981905440624E-2</v>
      </c>
      <c r="BH33" s="1058">
        <f>IF(ISNUMBER(STDEV(BH8:BH30)),STDEV(BH8:BH30),"-")</f>
        <v>3.2827202682075436</v>
      </c>
      <c r="BI33" s="273">
        <f>IF(ISNUMBER(STDEV(BI8:BI30)),STDEV(BI8:BI30),"-")</f>
        <v>8.1633250085961048E-2</v>
      </c>
      <c r="BJ33" s="244" t="str">
        <f>IF(ISNUMBER(BL33/BM33),BL33/BM33," - ")</f>
        <v xml:space="preserve"> - </v>
      </c>
      <c r="BK33" s="709"/>
      <c r="BL33" s="681">
        <f>IF(ISNUMBER(STDEV(BL8:BL30)),STDEV(BL8:BL30),"-")</f>
        <v>0.5179331684177072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GQFaELfJ578eN61SaXX3qGBYvQ2QsimD6BVOZHnB3w7Z7jpotVi5gshf3NfOgjYSWRYyrtDhUegtxML72hq1Q==" saltValue="Qs8d+InSQiRmX8G0TUJ5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COSLADA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20</v>
      </c>
      <c r="AA10" s="551">
        <f>IF(ISNUMBER(Datos!L10),Datos!L10,"-")</f>
        <v>24</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14</v>
      </c>
      <c r="AK10" s="693">
        <f>IF(ISNUMBER(Datos!N10),Datos!N10," - ")</f>
        <v>33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-0.11940298507462686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224</v>
      </c>
      <c r="AA12" s="551" t="str">
        <f>IF(ISNUMBER(IF(J_V="SI",Datos!L12,Datos!L12+Datos!AB12)-IF(Monitorios="SI",Datos!CD12,0)),
                          IF(J_V="SI",Datos!L12,Datos!L12+Datos!AB12)-IF(Monitorios="SI",Datos!CD12,0),
                          " - ")</f>
        <v xml:space="preserve"> - </v>
      </c>
      <c r="AB12" s="549"/>
      <c r="AC12" s="549"/>
      <c r="AD12" s="563"/>
      <c r="AE12" s="563">
        <f>IF(ISNUMBER(Datos!R12),Datos!R12," - ")</f>
        <v>6355</v>
      </c>
      <c r="AF12" s="693" t="str">
        <f>IF(ISNUMBER(Datos!BV12),Datos!BV12," - ")</f>
        <v xml:space="preserve"> - </v>
      </c>
      <c r="AG12" s="552" t="str">
        <f>IF(ISNUMBER(Datos!DV12),Datos!DV12," - ")</f>
        <v xml:space="preserve"> - </v>
      </c>
      <c r="AH12" s="553"/>
      <c r="AI12" s="554"/>
      <c r="AJ12" s="552">
        <f>IF(ISNUMBER(Datos!M12),Datos!M12," - ")</f>
        <v>335</v>
      </c>
      <c r="AK12" s="693">
        <f>IF(ISNUMBER(Datos!N12),Datos!N12," - ")</f>
        <v>729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7.675944333996024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1.0494514231197329E-2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302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244</v>
      </c>
      <c r="AA14" s="1199">
        <f t="shared" si="3"/>
        <v>24</v>
      </c>
      <c r="AB14" s="1199">
        <f t="shared" si="3"/>
        <v>0</v>
      </c>
      <c r="AC14" s="1199">
        <f t="shared" si="3"/>
        <v>0</v>
      </c>
      <c r="AD14" s="1199">
        <f t="shared" si="3"/>
        <v>0</v>
      </c>
      <c r="AE14" s="1199">
        <f t="shared" si="3"/>
        <v>6414</v>
      </c>
      <c r="AF14" s="1211">
        <f t="shared" si="3"/>
        <v>0</v>
      </c>
      <c r="AG14" s="1211">
        <f t="shared" si="3"/>
        <v>0</v>
      </c>
      <c r="AH14" s="1211">
        <f t="shared" si="3"/>
        <v>0</v>
      </c>
      <c r="AI14" s="1211">
        <f t="shared" si="3"/>
        <v>0</v>
      </c>
      <c r="AJ14" s="1211">
        <f t="shared" si="3"/>
        <v>349</v>
      </c>
      <c r="AK14" s="1211">
        <f t="shared" si="3"/>
        <v>762</v>
      </c>
      <c r="AL14" s="1211">
        <f t="shared" si="3"/>
        <v>0</v>
      </c>
      <c r="AM14" s="1211">
        <f t="shared" si="3"/>
        <v>0</v>
      </c>
      <c r="AN14" s="1211">
        <f t="shared" si="3"/>
        <v>0</v>
      </c>
      <c r="AO14" s="1203">
        <f>IF(ISNUMBER(((NºAsuntos!I14/NºAsuntos!G14)*11)/factor_trimestre),((NºAsuntos!I14/NºAsuntos!G14)*11)/factor_trimestre," - ")</f>
        <v>7.5730994152046778</v>
      </c>
      <c r="AP14" s="1213" t="str">
        <f>IF(ISNUMBER(Datos!CI14/Datos!CJ14),Datos!CI14/Datos!CJ14," - ")</f>
        <v xml:space="preserve"> - </v>
      </c>
      <c r="AQ14" s="1236">
        <f t="shared" ref="AQ14:AV14" si="4">SUBTOTAL(9,AQ9:AQ13)</f>
        <v>0</v>
      </c>
      <c r="AR14" s="1236">
        <f t="shared" si="4"/>
        <v>-0.10890847084342953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1381</v>
      </c>
      <c r="G17" s="552">
        <f>IF(ISNUMBER(IF(D_I="SI",Datos!I17,Datos!I17+Datos!AC17)),IF(D_I="SI",Datos!I17,Datos!I17+Datos!AC17)," - ")</f>
        <v>1346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2292</v>
      </c>
      <c r="Z17" s="805">
        <f>IF(ISNUMBER(Datos!Q17),Datos!Q17," - ")</f>
        <v>33</v>
      </c>
      <c r="AA17" s="551">
        <f>IF(ISNUMBER(IF(D_I="SI",Datos!L17,Datos!L17+Datos!AF17)),IF(D_I="SI",Datos!L17,Datos!L17+Datos!AF17)," - ")</f>
        <v>1436</v>
      </c>
      <c r="AB17" s="549"/>
      <c r="AC17" s="549"/>
      <c r="AD17" s="563"/>
      <c r="AE17" s="563">
        <f>IF(ISNUMBER(Datos!R17),Datos!R17," - ")</f>
        <v>285</v>
      </c>
      <c r="AF17" s="693" t="str">
        <f>IF(ISNUMBER(Datos!BV17),Datos!BV17," - ")</f>
        <v xml:space="preserve"> - </v>
      </c>
      <c r="AG17" s="552"/>
      <c r="AH17" s="553"/>
      <c r="AI17" s="554"/>
      <c r="AJ17" s="552">
        <f>IF(ISNUMBER(Datos!M17),Datos!M17," - ")</f>
        <v>171</v>
      </c>
      <c r="AK17" s="693">
        <f>IF(ISNUMBER(Datos!N17),Datos!N17," - ")</f>
        <v>1509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1.879581151832461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313</v>
      </c>
      <c r="Z18" s="805">
        <f>IF(ISNUMBER(Datos!Q18),Datos!Q18," - ")</f>
        <v>0</v>
      </c>
      <c r="AA18" s="551">
        <f>IF(ISNUMBER(Datos!L18),Datos!L18,"-")</f>
        <v>39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12</v>
      </c>
      <c r="AK18" s="693">
        <f>IF(ISNUMBER(Datos!N18),Datos!N18," - ")</f>
        <v>213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0.37380191693290732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1381</v>
      </c>
      <c r="G23" s="1197">
        <f>SUBTOTAL(9,G16:G22)</f>
        <v>1378</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2605</v>
      </c>
      <c r="Z23" s="1240">
        <f t="shared" si="6"/>
        <v>33</v>
      </c>
      <c r="AA23" s="1240">
        <f t="shared" si="6"/>
        <v>1475</v>
      </c>
      <c r="AB23" s="1240">
        <f t="shared" si="6"/>
        <v>0</v>
      </c>
      <c r="AC23" s="1240">
        <f t="shared" si="6"/>
        <v>0</v>
      </c>
      <c r="AD23" s="1240">
        <f t="shared" si="6"/>
        <v>0</v>
      </c>
      <c r="AE23" s="1240">
        <f t="shared" si="6"/>
        <v>291</v>
      </c>
      <c r="AF23" s="1240">
        <f t="shared" si="6"/>
        <v>0</v>
      </c>
      <c r="AG23" s="1240">
        <f t="shared" si="6"/>
        <v>0</v>
      </c>
      <c r="AH23" s="1240">
        <f t="shared" si="6"/>
        <v>0</v>
      </c>
      <c r="AI23" s="1240">
        <f t="shared" si="6"/>
        <v>0</v>
      </c>
      <c r="AJ23" s="1240">
        <f t="shared" si="6"/>
        <v>183</v>
      </c>
      <c r="AK23" s="1240">
        <f t="shared" si="6"/>
        <v>1722</v>
      </c>
      <c r="AL23" s="1240">
        <f t="shared" si="6"/>
        <v>0</v>
      </c>
      <c r="AM23" s="1240">
        <f t="shared" si="6"/>
        <v>0</v>
      </c>
      <c r="AN23" s="1240">
        <f t="shared" si="6"/>
        <v>0</v>
      </c>
      <c r="AO23" s="1242">
        <f>IF(ISNUMBER(((NºAsuntos!I23/NºAsuntos!G23)*11)/factor_trimestre),((NºAsuntos!I23/NºAsuntos!G23)*11)/factor_trimestre," - ")</f>
        <v>1.6986564299424183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1407</v>
      </c>
      <c r="G31" s="1117">
        <f t="shared" si="12"/>
        <v>1404</v>
      </c>
      <c r="H31" s="1118">
        <f t="shared" si="12"/>
        <v>0</v>
      </c>
      <c r="I31" s="1117">
        <f t="shared" si="12"/>
        <v>0</v>
      </c>
      <c r="J31" s="1119">
        <f t="shared" si="12"/>
        <v>0</v>
      </c>
      <c r="K31" s="1117">
        <f t="shared" si="12"/>
        <v>0</v>
      </c>
      <c r="L31" s="1120">
        <f t="shared" si="12"/>
        <v>0</v>
      </c>
      <c r="M31" s="1117">
        <f t="shared" si="12"/>
        <v>0</v>
      </c>
      <c r="N31" s="1118">
        <f t="shared" si="12"/>
        <v>362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2635</v>
      </c>
      <c r="Z31" s="1124">
        <f t="shared" si="13"/>
        <v>277</v>
      </c>
      <c r="AA31" s="1125">
        <f t="shared" si="13"/>
        <v>1499</v>
      </c>
      <c r="AB31" s="1125">
        <f t="shared" si="13"/>
        <v>0</v>
      </c>
      <c r="AC31" s="1125">
        <f t="shared" si="13"/>
        <v>0</v>
      </c>
      <c r="AD31" s="1126">
        <f t="shared" si="13"/>
        <v>0</v>
      </c>
      <c r="AE31" s="1126">
        <f t="shared" si="13"/>
        <v>6705</v>
      </c>
      <c r="AF31" s="1127">
        <f t="shared" si="13"/>
        <v>0</v>
      </c>
      <c r="AG31" s="1128">
        <f t="shared" si="13"/>
        <v>0</v>
      </c>
      <c r="AH31" s="1129">
        <f t="shared" si="13"/>
        <v>0</v>
      </c>
      <c r="AI31" s="1127">
        <f t="shared" si="13"/>
        <v>0</v>
      </c>
      <c r="AJ31" s="1117">
        <f t="shared" si="13"/>
        <v>532</v>
      </c>
      <c r="AK31" s="1117">
        <f t="shared" si="13"/>
        <v>2484</v>
      </c>
      <c r="AL31" s="1117">
        <f t="shared" si="13"/>
        <v>0</v>
      </c>
      <c r="AM31" s="1130">
        <f t="shared" si="13"/>
        <v>0</v>
      </c>
      <c r="AN31" s="1120">
        <f>IF(ISNUMBER(Datos!K31/Datos!J31),Datos!K31/Datos!J31," - ")</f>
        <v>0.93144317917731811</v>
      </c>
      <c r="AO31" s="1120">
        <f>IF(ISNUMBER(FIND("06",Criterios!A8,1)),(IF(ISNUMBER(((Datos!R31/Datos!Q31)*11)/factor_trimestre),((Datos!R31/Datos!Q31)*11)/factor_trimestre," - ")),(IF(ISNUMBER(((Datos!L31/Datos!K31)*11)/factor_trimestre),((Datos!L31/Datos!K31)*11)/factor_trimestre," - ")))</f>
        <v>3.884730538922156</v>
      </c>
      <c r="AP31" s="1131" t="str">
        <f>IF(ISNUMBER(Datos!CI31/Datos!CJ31),Datos!CI31/Datos!CJ31," - ")</f>
        <v xml:space="preserve"> - </v>
      </c>
      <c r="AQ31" s="1131">
        <f>IF(OR(ISNUMBER(FIND("01",Criterios!A8,1)),ISNUMBER(FIND("02",Criterios!A8,1)),ISNUMBER(FIND("03",Criterios!A8,1)),ISNUMBER(FIND("04",Criterios!A8,1))),(J31-Y31+K31)/(F31-K31),(I31-Y31+K31)/(F31-K31))</f>
        <v>-1.8727789623312012</v>
      </c>
      <c r="AR31" s="1131">
        <f>IF(ISNUMBER((Datos!P31-Datos!Q31+O31)/(Datos!R31-Datos!P31+Datos!Q31-O31)),(Datos!P31-Datos!Q31+O31)/(Datos!R31-Datos!P31+Datos!Q31-O31)," - ")</f>
        <v>1.283987915407855E-2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706.52784800034601</v>
      </c>
      <c r="G33" s="674">
        <f>IF(ISNUMBER(STDEV(G8:G30)),STDEV(G8:G30),"-")</f>
        <v>656.57785234538346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149.08482724370617</v>
      </c>
      <c r="AK33" s="276"/>
      <c r="AL33" s="276">
        <f>IF(ISNUMBER(STDEV(AL8:AL30)),STDEV(AL8:AL30),"-")</f>
        <v>0</v>
      </c>
      <c r="AM33" s="278">
        <f>IF(ISNUMBER(STDEV(AM8:AM30)),STDEV(AM8:AM30),"-")</f>
        <v>0</v>
      </c>
      <c r="AN33" s="660">
        <f>IF(ISNUMBER(STDEV(AN8:AN30)),STDEV(AN8:AN30),"-")</f>
        <v>0</v>
      </c>
      <c r="AO33" s="661">
        <f>IF(ISNUMBER(STDEV(AO8:AO30)),STDEV(AO8:AO30),"-")</f>
        <v>3.188170115821245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s1x9T2Go1TkNuodmXEx6+L5y1civqXIR+OyMz28GII3Pkt4TUYk813SQa0EuOhO8h50c4a7EBVAd4cw63+79g==" saltValue="Nqbs0yLI9shPQd+cXXrB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FhmPrajs8/bqP2/i8t9kvVXY17r4QUXvrxnABFangbpbMLLqOw9H7phzl+MHNjrF79YTYhAsuByh38fnxphpg==" saltValue="D4xfnqyJuuocpC+SG34l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P0ZQyf9aH2whtjRAQ9JgAsWHK2FZE9P5wNmNCLtWUqZSpW3vwbqd5cdbz0sDDuOexePzI2K46e3+Ag3NQ5Kg==" saltValue="n3Z2KNDEFetnkqRhr7B9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COSLADA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0.2267706302794022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0.16035105044451273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03tnZTc8nD75O3Wm8aCjr2hFQwGiioGtc+lFAmk5nrG2u0/FRDxm+5RXeenjAlwf0DmSxpv2Lq6NELjCB8Orw==" saltValue="wRAiz3yxpyOdZDslyzjl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OZWYTfTbiGZwZfEeT/n7T23eCcZDwGFGoD1NVOHOVXsShmQzriPnzkGnNmwVYJtriDNl1hiR57L5Nvfc2iJ8A==" saltValue="ejcV3AGVzLaAaewo9poY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COSLADA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28</v>
      </c>
      <c r="F10" s="452">
        <f>IF(ISNUMBER(E10/B10),E10/B10," - ")</f>
        <v>28</v>
      </c>
      <c r="G10" s="451">
        <f>IF(ISNUMBER(Datos!K10),Datos!K10," - ")</f>
        <v>30</v>
      </c>
      <c r="H10" s="452">
        <f>IF(ISNUMBER(G10/B10),G10/B10," - ")</f>
        <v>30</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3614</v>
      </c>
      <c r="D12" s="452">
        <f>IF(ISNUMBER(C12/Datos!BH12),C12/Datos!BH12," - ")</f>
        <v>602.33333333333337</v>
      </c>
      <c r="E12" s="451">
        <f>IF(ISNUMBER(IF(J_V="SI",Datos!J12,Datos!J12+Datos!Z12)),IF(J_V="SI",Datos!J12,Datos!J12+Datos!Z12)," - ")</f>
        <v>1756</v>
      </c>
      <c r="F12" s="452">
        <f>IF(ISNUMBER(E12/B12),E12/B12," - ")</f>
        <v>292.66666666666669</v>
      </c>
      <c r="G12" s="451">
        <f>IF(ISNUMBER(IF(J_V="SI",Datos!K12,Datos!K12+Datos!AA12)),IF(J_V="SI",Datos!K12,Datos!K12+Datos!AA12)," - ")</f>
        <v>1509</v>
      </c>
      <c r="H12" s="452">
        <f>IF(ISNUMBER(G12/B12),G12/B12," - ")</f>
        <v>251.5</v>
      </c>
      <c r="I12" s="451">
        <f>IF(ISNUMBER(IF(J_V="SI",Datos!L12,Datos!L12+Datos!AB12)),IF(J_V="SI",Datos!L12,Datos!L12+Datos!AB12)," - ")</f>
        <v>3861</v>
      </c>
      <c r="J12" s="452">
        <f>IF(ISNUMBER(I12/B12),I12/B12," - ")</f>
        <v>643.5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3640</v>
      </c>
      <c r="D14" s="1147" t="str">
        <f>IF(ISNUMBER(C14/Datos!BI14),C14/Datos!BI14," - ")</f>
        <v xml:space="preserve"> - </v>
      </c>
      <c r="E14" s="1146">
        <f>SUBTOTAL(9,E8:E13)</f>
        <v>1784</v>
      </c>
      <c r="F14" s="1147">
        <f>IF(ISNUMBER(E14/B14),E14/B14," - ")</f>
        <v>254.85714285714286</v>
      </c>
      <c r="G14" s="1146">
        <f>SUBTOTAL(9,G8:G13)</f>
        <v>1539</v>
      </c>
      <c r="H14" s="1147">
        <f>IF(ISNUMBER(G14/B14),G14/B14," - ")</f>
        <v>219.85714285714286</v>
      </c>
      <c r="I14" s="1146">
        <f>SUBTOTAL(9,I8:I13)</f>
        <v>3885</v>
      </c>
      <c r="J14" s="1147">
        <f>IF(ISNUMBER(I14/B14),I14/B14," - ")</f>
        <v>555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1346</v>
      </c>
      <c r="D17" s="452">
        <f>IF(ISNUMBER(C17/Datos!BH17),C17/Datos!BH17," - ")</f>
        <v>224.33333333333334</v>
      </c>
      <c r="E17" s="451">
        <f>IF(ISNUMBER(IF(D_I="SI",Datos!J17,Datos!J17+Datos!AD17)),IF(D_I="SI",Datos!J17,Datos!J17+Datos!AD17)," - ")</f>
        <v>2347</v>
      </c>
      <c r="F17" s="452">
        <f>IF(ISNUMBER(E17/B17),E17/B17," - ")</f>
        <v>391.16666666666669</v>
      </c>
      <c r="G17" s="451">
        <f>IF(ISNUMBER(IF(D_I="SI",Datos!K17,Datos!K17+Datos!AE17)),IF(D_I="SI",Datos!K17,Datos!K17+Datos!AE17)," - ")</f>
        <v>2292</v>
      </c>
      <c r="H17" s="452">
        <f>IF(ISNUMBER(G17/B17),G17/B17," - ")</f>
        <v>382</v>
      </c>
      <c r="I17" s="451">
        <f>IF(ISNUMBER(IF(D_I="SI",Datos!L17,Datos!L17+Datos!AF17)),IF(D_I="SI",Datos!L17,Datos!L17+Datos!AF17)," - ")</f>
        <v>1436</v>
      </c>
      <c r="J17" s="452">
        <f>IF(ISNUMBER(I17/B17),I17/B17," - ")</f>
        <v>239.33333333333334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321</v>
      </c>
      <c r="F18" s="452">
        <f>IF(ISNUMBER(E18/B18),E18/B18," - ")</f>
        <v>321</v>
      </c>
      <c r="G18" s="451">
        <f>IF(ISNUMBER(IF(D_I="SI",Datos!K18,Datos!K18+Datos!AE18)),IF(D_I="SI",Datos!K18,Datos!K18+Datos!AE18)," - ")</f>
        <v>313</v>
      </c>
      <c r="H18" s="452">
        <f>IF(ISNUMBER(G18/B18),G18/B18," - ")</f>
        <v>313</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1378</v>
      </c>
      <c r="D23" s="1147" t="str">
        <f>IF(ISNUMBER(C23/Datos!BI23),C23/Datos!BI23," - ")</f>
        <v xml:space="preserve"> - </v>
      </c>
      <c r="E23" s="1146">
        <f>SUBTOTAL(9,E15:E22)</f>
        <v>2668</v>
      </c>
      <c r="F23" s="1147">
        <f>IF(ISNUMBER(E23/B23),E23/B23," - ")</f>
        <v>381.14285714285717</v>
      </c>
      <c r="G23" s="1146">
        <f>SUBTOTAL(9,G15:G22)</f>
        <v>2605</v>
      </c>
      <c r="H23" s="1147">
        <f>IF(ISNUMBER(G23/B23),G23/B23," - ")</f>
        <v>372.14285714285717</v>
      </c>
      <c r="I23" s="1146">
        <f>SUBTOTAL(9,I15:I22)</f>
        <v>1475</v>
      </c>
      <c r="J23" s="1147">
        <f>IF(ISNUMBER(I23/B23),I23/B23," - ")</f>
        <v>210.71428571428572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5018</v>
      </c>
      <c r="D31" s="1085" t="str">
        <f>IF(ISNUMBER(C31/Datos!BI31),C31/Datos!BI31," - ")</f>
        <v xml:space="preserve"> - </v>
      </c>
      <c r="E31" s="1084">
        <f>SUBTOTAL(9,E9:E30)</f>
        <v>4452</v>
      </c>
      <c r="F31" s="1085">
        <f>IF(ISNUMBER(E31/B31),E31/B31," - ")</f>
        <v>636</v>
      </c>
      <c r="G31" s="1084">
        <f>SUBTOTAL(9,G9:G30)</f>
        <v>4144</v>
      </c>
      <c r="H31" s="1085">
        <f>IF(ISNUMBER(G31/B31),G31/B31," - ")</f>
        <v>592</v>
      </c>
      <c r="I31" s="1084">
        <f>SUBTOTAL(9,I9:I30)</f>
        <v>5360</v>
      </c>
      <c r="J31" s="1085">
        <f>IF(ISNUMBER(I31/B31),I31/B31," - ")</f>
        <v>765.71428571428567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AAZ+SIxVXIMnM/c9or7hLERoAHsuaHRXN/Mpk0F3EZDSmpHolqGL57fFyMbUKldf90c+WzM2MhWe/GDbXA7pA==" saltValue="9A6ZFmCNODqb8Y6+o9H2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COSLADA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33</v>
      </c>
      <c r="AN10" s="914">
        <f>IF(ISNUMBER(Datos!BW10+DatosP!BW18),Datos!BW10+DatosP!BW18," - ")</f>
        <v>0</v>
      </c>
      <c r="AO10" s="915">
        <f>IF(ISNUMBER(Datos!BX10+DatosP!BX18),Datos!BX10+DatosP!BX18," - ")</f>
        <v>0</v>
      </c>
      <c r="AP10" s="917">
        <f>IF(ISNUMBER(((Datos!L10/Datos!K10)*11)/factor_trimestre),((Datos!L10/Datos!K10)*11)/factor_trimestre," - ")</f>
        <v>2.4000000000000004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335</v>
      </c>
      <c r="AM12" s="914">
        <f>IF(ISNUMBER(Datos!N12+DatosP!N17),Datos!N12+DatosP!N17," - ")</f>
        <v>729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7.675944333996024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1.0494514231197329E-2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302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224</v>
      </c>
      <c r="AE14" s="1257">
        <f t="shared" si="1"/>
        <v>0</v>
      </c>
      <c r="AF14" s="1257">
        <f t="shared" si="1"/>
        <v>24</v>
      </c>
      <c r="AG14" s="1257">
        <f t="shared" si="1"/>
        <v>0</v>
      </c>
      <c r="AH14" s="1257">
        <f t="shared" si="1"/>
        <v>6355</v>
      </c>
      <c r="AI14" s="1257">
        <f t="shared" si="1"/>
        <v>0</v>
      </c>
      <c r="AJ14" s="1257">
        <f t="shared" si="1"/>
        <v>0</v>
      </c>
      <c r="AK14" s="1257">
        <f t="shared" si="1"/>
        <v>0</v>
      </c>
      <c r="AL14" s="1257">
        <f t="shared" si="1"/>
        <v>349</v>
      </c>
      <c r="AM14" s="1257">
        <f t="shared" si="1"/>
        <v>762</v>
      </c>
      <c r="AN14" s="1257">
        <f t="shared" si="1"/>
        <v>0</v>
      </c>
      <c r="AO14" s="1257">
        <f t="shared" si="1"/>
        <v>0</v>
      </c>
      <c r="AP14" s="1262">
        <f>IF(ISNUMBER(((Datos!L14/Datos!K14)*11)/factor_trimestre),((Datos!L14/Datos!K14)*11)/factor_trimestre," - ")</f>
        <v>7.9436920883820399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-1.1538461538461537</v>
      </c>
      <c r="AU14" s="1257" t="str">
        <f>IF(ISNUMBER((DatosP!#REF!-DatosP!#REF!+DatosP!#REF!)/(DatosP!#REF!+DatosP!#REF!-DatosP!#REF!-DatosP!#REF!)),(DatosP!#REF!-DatosP!#REF!+DatosP!#REF!)/(DatosP!#REF!+DatosP!#REF!-DatosP!#REF!-DatosP!#REF!)," - ")</f>
        <v xml:space="preserve"> - </v>
      </c>
      <c r="AV14" s="1263">
        <f>SUBTOTAL(9,AV9:AV13)</f>
        <v>1.0494514231197329E-2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1.6986564299424183</v>
      </c>
      <c r="AQ23" s="1262">
        <f>IF(ISNUMBER(((Datos!M23/Datos!L23)*11)/factor_trimestre),((Datos!M23/Datos!L23)*11)/factor_trimestre," - ")</f>
        <v>0.37220338983050849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0.10227272727272728</v>
      </c>
      <c r="AW23" s="1265">
        <f>IF(ISNUMBER((Datos!Q23-Datos!R23)/(Datos!S23-Datos!Q23+Datos!R23)),(Datos!Q23-Datos!R23)/(Datos!S23-Datos!Q23+Datos!R23)," - ")</f>
        <v>-0.136004217185029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302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224</v>
      </c>
      <c r="AE31" s="1284">
        <f t="shared" si="9"/>
        <v>0</v>
      </c>
      <c r="AF31" s="1285">
        <f t="shared" si="9"/>
        <v>24</v>
      </c>
      <c r="AG31" s="1285">
        <f t="shared" si="9"/>
        <v>0</v>
      </c>
      <c r="AH31" s="1285">
        <f t="shared" si="9"/>
        <v>6355</v>
      </c>
      <c r="AI31" s="1285">
        <f t="shared" si="9"/>
        <v>0</v>
      </c>
      <c r="AJ31" s="1286">
        <f t="shared" si="9"/>
        <v>0</v>
      </c>
      <c r="AK31" s="1286">
        <f t="shared" si="9"/>
        <v>0</v>
      </c>
      <c r="AL31" s="1278">
        <f t="shared" si="9"/>
        <v>349</v>
      </c>
      <c r="AM31" s="1278">
        <f t="shared" si="9"/>
        <v>762</v>
      </c>
      <c r="AN31" s="1278">
        <f t="shared" si="9"/>
        <v>0</v>
      </c>
      <c r="AO31" s="1278">
        <f t="shared" si="9"/>
        <v>0</v>
      </c>
      <c r="AP31" s="1278">
        <f>IF(ISNUMBER(((Datos!L31/Datos!K31)*11)/factor_trimestre),((Datos!L31/Datos!K31)*11)/factor_trimestre," - ")</f>
        <v>3.884730538922156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-1.1538461538461537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1.283987915407855E-2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174.94075187521821</v>
      </c>
      <c r="AM33" s="1006"/>
      <c r="AN33" s="1006">
        <f>IF(ISNUMBER(STDEV(AN8:AN30)),STDEV(AN8:AN30),"-")</f>
        <v>0</v>
      </c>
      <c r="AO33" s="1012">
        <f>IF(ISNUMBER(STDEV(AO8:AO30)),STDEV(AO8:AO30),"-")</f>
        <v>0</v>
      </c>
      <c r="AP33" s="1065">
        <f>IF(ISNUMBER(STDEV(AP8:AP30)),STDEV(AP8:AP30),"-")</f>
        <v>3.3399117168045804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3aDdhNe2I56AlyxeInDY/uZgBP5EKltqm4VmGkbSXkU//BffJyn8XHFmbdk4MppO9AyDwTlGgt8rCxSL+W+Tg==" saltValue="c4HnPrh9rni4WD93pAfn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COSLADA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HYnGvgw9VizRxs63vFzZvHQNpO/S8HmM/r+mSUAmGGpq4twUF+4KQJjLy3Lgbu4MbzND253mblfrxW3joYcXw==" saltValue="wzf8T4z1EkcrSlIxCOYQ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COSLADA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33</v>
      </c>
      <c r="G10" s="452">
        <f>IF(ISNUMBER(F10/B10),F10/B10," - ")</f>
        <v>33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335</v>
      </c>
      <c r="E12" s="452">
        <f t="shared" si="0"/>
        <v>55.833333333333336</v>
      </c>
      <c r="F12" s="451">
        <f>IF(ISNUMBER(Datos!N12),Datos!N12," - ")</f>
        <v>729</v>
      </c>
      <c r="G12" s="452">
        <f t="shared" si="1"/>
        <v>121.5</v>
      </c>
      <c r="H12" s="451">
        <f>IF(ISNUMBER(Datos!O12),Datos!O12," - ")</f>
        <v>468</v>
      </c>
      <c r="I12" s="452">
        <f t="shared" si="2"/>
        <v>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349</v>
      </c>
      <c r="E14" s="1147">
        <f t="shared" si="0"/>
        <v>49.857142857142854</v>
      </c>
      <c r="F14" s="1146">
        <f>SUBTOTAL(9,F9:F13)</f>
        <v>762</v>
      </c>
      <c r="G14" s="1147">
        <f t="shared" si="1"/>
        <v>108.85714285714286</v>
      </c>
      <c r="H14" s="1146">
        <f>SUBTOTAL(9,H9:H13)</f>
        <v>471</v>
      </c>
      <c r="I14" s="1147">
        <f>IF(ISNUMBER(H14/B14),H14/B14," - ")</f>
        <v>67.285714285714292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171</v>
      </c>
      <c r="E17" s="452">
        <f t="shared" si="3"/>
        <v>28.5</v>
      </c>
      <c r="F17" s="451">
        <f>IF(ISNUMBER(Datos!N17),Datos!N17," - ")</f>
        <v>1509</v>
      </c>
      <c r="G17" s="452">
        <f t="shared" si="4"/>
        <v>251.5</v>
      </c>
      <c r="H17" s="451">
        <f>IF(ISNUMBER(Datos!O17),Datos!O17," - ")</f>
        <v>1</v>
      </c>
      <c r="I17" s="452">
        <f t="shared" si="5"/>
        <v>0.16666666666666666</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213</v>
      </c>
      <c r="G18" s="452">
        <f>IF(ISNUMBER(F18/B18),F18/B18," - ")</f>
        <v>213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183</v>
      </c>
      <c r="E23" s="1147">
        <f t="shared" si="3"/>
        <v>26.142857142857142</v>
      </c>
      <c r="F23" s="1146">
        <f>SUBTOTAL(9,F16:F22)</f>
        <v>1722</v>
      </c>
      <c r="G23" s="1147">
        <f t="shared" si="4"/>
        <v>246</v>
      </c>
      <c r="H23" s="1146">
        <f>SUBTOTAL(9,H16:H22)</f>
        <v>1</v>
      </c>
      <c r="I23" s="1147">
        <f>IF(ISNUMBER(H23/B23),H23/B23," - ")</f>
        <v>0.14285714285714285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532</v>
      </c>
      <c r="E31" s="1085">
        <f>IF(ISNUMBER(D31/B31),D31/B31," - ")</f>
        <v>76</v>
      </c>
      <c r="F31" s="1084">
        <f>SUBTOTAL(9,F8:F30)</f>
        <v>2484</v>
      </c>
      <c r="G31" s="1085">
        <f>IF(ISNUMBER(F31/B31),F31/B31," - ")</f>
        <v>354.85714285714283</v>
      </c>
      <c r="H31" s="1084">
        <f>SUBTOTAL(9,H8:H30)</f>
        <v>472</v>
      </c>
      <c r="I31" s="1085">
        <f>IF(ISNUMBER(H31/B31),H31/B31," - ")</f>
        <v>67.428571428571431</v>
      </c>
    </row>
    <row r="34" spans="1:1">
      <c r="A34" s="439" t="str">
        <f>Criterios!A4</f>
        <v>Fecha Informe: 06 may. 2023</v>
      </c>
    </row>
    <row r="39" spans="1:1">
      <c r="A39" s="462"/>
    </row>
  </sheetData>
  <sheetProtection algorithmName="SHA-512" hashValue="ySFcMUCtvcootGJHusnV0lHHZYa0R7ZydehhQgjtiqMYCZAjfxsybAC3lJMuql03M6N9d9VAwAB0rjXxl4tI0A==" saltValue="SNya3zuzhbetzkCOFAwo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COSLADA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12</v>
      </c>
      <c r="C10" s="489">
        <f>IF(ISNUMBER(Datos!Q10),Datos!Q10," - ")</f>
        <v>20</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290</v>
      </c>
      <c r="C12" s="489">
        <f>IF(ISNUMBER(Datos!Q12),Datos!Q12," - ")</f>
        <v>224</v>
      </c>
      <c r="D12" s="456">
        <f>IF(ISNUMBER(Datos!R12),Datos!R12," - ")</f>
        <v>6355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302</v>
      </c>
      <c r="C14" s="1150">
        <f>SUBTOTAL(9,C9:C13)</f>
        <v>244</v>
      </c>
      <c r="D14" s="1148">
        <f>SUBTOTAL(9,D9:D13)</f>
        <v>6414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33</v>
      </c>
      <c r="D17" s="456">
        <f>IF(ISNUMBER(Datos!R17),Datos!R17," - ")</f>
        <v>285</v>
      </c>
    </row>
    <row r="18" spans="1:4">
      <c r="A18" s="450" t="str">
        <f>Datos!A18</f>
        <v>Jdos. Violencia contra la mujer</v>
      </c>
      <c r="B18" s="488">
        <f>IF(ISNUMBER(Datos!P18),Datos!P18," - ")</f>
        <v>2</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33</v>
      </c>
      <c r="D23" s="1148">
        <f>SUBTOTAL(9,D16:D22)</f>
        <v>291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362</v>
      </c>
      <c r="C31" s="1089">
        <f>SUBTOTAL(9,C8:C30)</f>
        <v>277</v>
      </c>
      <c r="D31" s="1090">
        <f>SUBTOTAL(9,D8:D30)</f>
        <v>6705</v>
      </c>
    </row>
    <row r="32" spans="1:4" ht="7.5" customHeight="1"/>
    <row r="33" spans="1:1" ht="6" customHeight="1"/>
    <row r="34" spans="1:1">
      <c r="A34" s="439" t="str">
        <f>Criterios!A4</f>
        <v>Fecha Informe: 06 may. 2023</v>
      </c>
    </row>
    <row r="39" spans="1:1">
      <c r="A39" s="462"/>
    </row>
  </sheetData>
  <sheetProtection algorithmName="SHA-512" hashValue="BR9/skKNoLUub+iFz1NmDuVoosKrIOYdEwZMLeyD/Vlv1IuH/hzANW0y8r2x8oUoMrdSeo6jiFAEaZzIcYYsrQ==" saltValue="ZdJLQxu/XpXlQQwDOcqz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COSLADA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-0.67500000000000004</v>
      </c>
      <c r="C10" s="515">
        <f>IF(ISNUMBER((Datos!J10-Datos!T10)/Datos!T10),(Datos!J10-Datos!T10)/Datos!T10," - ")</f>
        <v>-0.34883720930232559</v>
      </c>
      <c r="D10" s="515">
        <f>IF(ISNUMBER((Datos!K10-Datos!U10)/Datos!U10),(Datos!K10-Datos!U10)/Datos!U10," - ")</f>
        <v>-0.44444444444444442</v>
      </c>
      <c r="E10" s="515">
        <f>IF(ISNUMBER((Datos!L10-Datos!V10)/Datos!V10),(Datos!L10-Datos!V10)/Datos!V10," - ")</f>
        <v>-0.65217391304347827</v>
      </c>
      <c r="F10" s="515">
        <f>IF(ISNUMBER((Datos!M10-Datos!W10)/Datos!W10),(Datos!M10-Datos!W10)/Datos!W10," - ")</f>
        <v>-0.36363636363636365</v>
      </c>
      <c r="G10" s="516">
        <f>IF(ISNUMBER((Datos!N10-Datos!X10)/Datos!X10),(Datos!N10-Datos!X10)/Datos!X10," - ")</f>
        <v>0.65</v>
      </c>
      <c r="H10" s="514">
        <f>IF(ISNUMBER(((NºAsuntos!G10/NºAsuntos!E10)-Datos!BD10)/Datos!BD10),((NºAsuntos!G10/NºAsuntos!E10)-Datos!BD10)/Datos!BD10," - ")</f>
        <v>-0.14682539682539686</v>
      </c>
      <c r="I10" s="515">
        <f>IF(ISNUMBER(((NºAsuntos!I10/NºAsuntos!G10)-Datos!BE10)/Datos!BE10),((NºAsuntos!I10/NºAsuntos!G10)-Datos!BE10)/Datos!BE10," - ")</f>
        <v>-0.37391304347826076</v>
      </c>
      <c r="J10" s="521">
        <f>IF(ISNUMBER((('Resol  Asuntos'!D10/NºAsuntos!G10)-Datos!BF10)/Datos!BF10),(('Resol  Asuntos'!D10/NºAsuntos!G10)-Datos!BF10)/Datos!BF10," - ")</f>
        <v>0.14545454545454553</v>
      </c>
      <c r="K10" s="522">
        <f>IF(ISNUMBER((((NºAsuntos!C10+NºAsuntos!E10)/NºAsuntos!G10)-Datos!BG10)/Datos!BG10),(((NºAsuntos!C10+NºAsuntos!E10)/NºAsuntos!G10)-Datos!BG10)/Datos!BG10," - ")</f>
        <v>-0.20975609756097555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0.16580645161290322</v>
      </c>
      <c r="C12" s="515">
        <f>IF(ISNUMBER(
   IF(J_V="SI",(Datos!J12-Datos!T12)/Datos!T12,(Datos!J12+Datos!Z12-(Datos!T12+Datos!AH12))/(Datos!T12+Datos!AH12))
     ),IF(J_V="SI",(Datos!J12-Datos!T12)/Datos!T12,(Datos!J12+Datos!Z12-(Datos!T12+Datos!AH12))/(Datos!T12+Datos!AH12))," - ")</f>
        <v>-5.0297458085451593E-2</v>
      </c>
      <c r="D12" s="515">
        <f>IF(ISNUMBER(
   IF(J_V="SI",(Datos!K12-Datos!U12)/Datos!U12,(Datos!K12+Datos!AA12-(Datos!U12+Datos!AI12))/(Datos!U12+Datos!AI12))
     ),IF(J_V="SI",(Datos!K12-Datos!U12)/Datos!U12,(Datos!K12+Datos!AA12-(Datos!U12+Datos!AI12))/(Datos!U12+Datos!AI12))," - ")</f>
        <v>-0.18033677349266702</v>
      </c>
      <c r="E12" s="515">
        <f>IF(ISNUMBER(
   IF(J_V="SI",(Datos!L12-Datos!V12)/Datos!V12,(Datos!L12+Datos!AB12-(Datos!V12+Datos!AJ12))/(Datos!V12+Datos!AJ12))
     ),IF(J_V="SI",(Datos!L12-Datos!V12)/Datos!V12,(Datos!L12+Datos!AB12-(Datos!V12+Datos!AJ12))/(Datos!V12+Datos!AJ12))," - ")</f>
        <v>0.24227799227799227</v>
      </c>
      <c r="F12" s="515">
        <f>IF(ISNUMBER((Datos!M12-Datos!W12)/Datos!W12),(Datos!M12-Datos!W12)/Datos!W12," - ")</f>
        <v>-0.11375661375661375</v>
      </c>
      <c r="G12" s="516">
        <f>IF(ISNUMBER((Datos!N12-Datos!X12)/Datos!X12),(Datos!N12-Datos!X12)/Datos!X12," - ")</f>
        <v>-0.2437759336099585</v>
      </c>
      <c r="H12" s="514">
        <f>IF(ISNUMBER(((NºAsuntos!G12/NºAsuntos!E12)-Datos!BD12)/Datos!BD12),((NºAsuntos!G12/NºAsuntos!E12)-Datos!BD12)/Datos!BD12," - ")</f>
        <v>-0.13692636343276846</v>
      </c>
      <c r="I12" s="515">
        <f>IF(ISNUMBER(((NºAsuntos!I12/NºAsuntos!G12)-Datos!BE12)/Datos!BE12),((NºAsuntos!I12/NºAsuntos!G12)-Datos!BE12)/Datos!BE12," - ")</f>
        <v>0.51559561549621191</v>
      </c>
      <c r="J12" s="521">
        <f>IF(ISNUMBER((('Resol  Asuntos'!D12/NºAsuntos!G12)-Datos!BF12)/Datos!BF12),(('Resol  Asuntos'!D12/NºAsuntos!G12)-Datos!BF12)/Datos!BF12," - ")</f>
        <v>-0.576032738561714</v>
      </c>
      <c r="K12" s="522">
        <f>IF(ISNUMBER((((NºAsuntos!C12+NºAsuntos!E12)/NºAsuntos!G12)-Datos!BG12)/Datos!BG12),(((NºAsuntos!C12+NºAsuntos!E12)/NºAsuntos!G12)-Datos!BG12)/Datos!BG12," - ")</f>
        <v>0.32379696362138327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0.14465408805031446</v>
      </c>
      <c r="C14" s="1152">
        <f>IF(ISNUMBER(
   IF(J_V="SI",(Datos!J14-Datos!T14)/Datos!T14,(Datos!J14+Datos!Z14-(Datos!T14+Datos!AH14))/(Datos!T14+Datos!AH14))
     ),IF(J_V="SI",(Datos!J14-Datos!T14)/Datos!T14,(Datos!J14+Datos!Z14-(Datos!T14+Datos!AH14))/(Datos!T14+Datos!AH14))," - ")</f>
        <v>-5.7082452431289642E-2</v>
      </c>
      <c r="D14" s="1152">
        <f>IF(ISNUMBER(
   IF(J_V="SI",(Datos!K14-Datos!U14)/Datos!U14,(Datos!K14+Datos!AA14-(Datos!U14+Datos!AI14))/(Datos!U14+Datos!AI14))
     ),IF(J_V="SI",(Datos!K14-Datos!U14)/Datos!U14,(Datos!K14+Datos!AA14-(Datos!U14+Datos!AI14))/(Datos!U14+Datos!AI14))," - ")</f>
        <v>-0.18786279683377308</v>
      </c>
      <c r="E14" s="1152">
        <f>IF(ISNUMBER(
   IF(J_V="SI",(Datos!L14-Datos!V14)/Datos!V14,(Datos!L14+Datos!AB14-(Datos!V14+Datos!AJ14))/(Datos!V14+Datos!AJ14))
     ),IF(J_V="SI",(Datos!L14-Datos!V14)/Datos!V14,(Datos!L14+Datos!AB14-(Datos!V14+Datos!AJ14))/(Datos!V14+Datos!AJ14))," - ")</f>
        <v>0.22285174693106705</v>
      </c>
      <c r="F14" s="1153">
        <f>IF(ISNUMBER((Datos!M14-Datos!W14)/Datos!W14),(Datos!M14-Datos!W14)/Datos!W14," - ")</f>
        <v>-0.1275</v>
      </c>
      <c r="G14" s="1154">
        <f>IF(ISNUMBER((Datos!N14-Datos!X14)/Datos!X14),(Datos!N14-Datos!X14)/Datos!X14," - ")</f>
        <v>-0.22560975609756098</v>
      </c>
      <c r="H14" s="1154">
        <f>IF(ISNUMBER(((NºAsuntos!G14/NºAsuntos!E14)-Datos!BD14)/Datos!BD14),((NºAsuntos!G14/NºAsuntos!E14)-Datos!BD14)/Datos!BD14," - ")</f>
        <v>-0.13869754013985347</v>
      </c>
      <c r="I14" s="1154">
        <f>IF(ISNUMBER(((NºAsuntos!I14/NºAsuntos!G14)-Datos!BE14)/Datos!BE14),((NºAsuntos!I14/NºAsuntos!G14)-Datos!BE14)/Datos!BE14," - ")</f>
        <v>0.50572063705937098</v>
      </c>
      <c r="J14" s="1154">
        <f>IF(ISNUMBER((('Resol  Asuntos'!D14/NºAsuntos!G14)-Datos!BF14)/Datos!BF14),(('Resol  Asuntos'!D14/NºAsuntos!G14)-Datos!BF14)/Datos!BF14," - ")</f>
        <v>-0.5641680077287351</v>
      </c>
      <c r="K14" s="1154">
        <f>IF(ISNUMBER((((NºAsuntos!C14+NºAsuntos!E14)/NºAsuntos!G14)-Datos!BG14)/Datos!BG14),(((NºAsuntos!C14+NºAsuntos!E14)/NºAsuntos!G14)-Datos!BG14)/Datos!BG14," - ")</f>
        <v>0.31677335645457827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-0.1167979002624672</v>
      </c>
      <c r="C17" s="515">
        <f>IF(ISNUMBER(
   IF(D_I="SI",(Datos!J17-Datos!T17)/Datos!T17,(Datos!J17+Datos!AD17-(Datos!T17+Datos!AL17))/(Datos!T17+Datos!AL17))
     ),IF(D_I="SI",(Datos!J17-Datos!T17)/Datos!T17,(Datos!J17+Datos!AD17-(Datos!T17+Datos!AL17))/(Datos!T17+Datos!AL17))," - ")</f>
        <v>0.18296370967741934</v>
      </c>
      <c r="D17" s="515">
        <f>IF(ISNUMBER(
   IF(D_I="SI",(Datos!K17-Datos!U17)/Datos!U17,(Datos!K17+Datos!AE17-(Datos!U17+Datos!AM17))/(Datos!U17+Datos!AM17))
     ),IF(D_I="SI",(Datos!K17-Datos!U17)/Datos!U17,(Datos!K17+Datos!AE17-(Datos!U17+Datos!AM17))/(Datos!U17+Datos!AM17))," - ")</f>
        <v>6.0620083294770942E-2</v>
      </c>
      <c r="E17" s="515">
        <f>IF(ISNUMBER(
   IF(D_I="SI",(Datos!L17-Datos!V17)/Datos!V17,(Datos!L17+Datos!AF17-(Datos!V17+Datos!AN17))/(Datos!V17+Datos!AN17))
     ),IF(D_I="SI",(Datos!L17-Datos!V17)/Datos!V17,(Datos!L17+Datos!AF17-(Datos!V17+Datos!AN17))/(Datos!V17+Datos!AN17))," - ")</f>
        <v>3.235082674335011E-2</v>
      </c>
      <c r="F17" s="515">
        <f>IF(ISNUMBER((Datos!M17-Datos!W17)/Datos!W17),(Datos!M17-Datos!W17)/Datos!W17," - ")</f>
        <v>-0.29629629629629628</v>
      </c>
      <c r="G17" s="516">
        <f>IF(ISNUMBER((Datos!N17-Datos!X17)/Datos!X17),(Datos!N17-Datos!X17)/Datos!X17," - ")</f>
        <v>0.15987701767870868</v>
      </c>
      <c r="H17" s="514">
        <f>IF(ISNUMBER(((NºAsuntos!G17/NºAsuntos!E17)-Datos!BD17)/Datos!BD17),((NºAsuntos!G17/NºAsuntos!E17)-Datos!BD17)/Datos!BD17," - ")</f>
        <v>-0.10342128450923486</v>
      </c>
      <c r="I17" s="515">
        <f>IF(ISNUMBER(((NºAsuntos!I17/NºAsuntos!G17)-Datos!BE17)/Datos!BE17),((NºAsuntos!I17/NºAsuntos!G17)-Datos!BE17)/Datos!BE17," - ")</f>
        <v>-2.6653518066152057E-2</v>
      </c>
      <c r="J17" s="521">
        <f>IF(ISNUMBER((('Resol  Asuntos'!D17/NºAsuntos!G17)-Datos!BF17)/Datos!BF17),(('Resol  Asuntos'!D17/NºAsuntos!G17)-Datos!BF17)/Datos!BF17," - ")</f>
        <v>-0.33651670868075761</v>
      </c>
      <c r="K17" s="522">
        <f>IF(ISNUMBER((((NºAsuntos!C17+NºAsuntos!E17)/NºAsuntos!G17)-Datos!BG17)/Datos!BG17),(((NºAsuntos!C17+NºAsuntos!E17)/NºAsuntos!G17)-Datos!BG17)/Datos!BG17," - ")</f>
        <v>-7.4328983266370025E-3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-0.72173913043478266</v>
      </c>
      <c r="C18" s="515">
        <f>IF(ISNUMBER(
   IF(D_I="SI",(Datos!J18-Datos!T18)/Datos!T18,(Datos!J18+Datos!AD18-(Datos!T18+Datos!AL18))/(Datos!T18+Datos!AL18))
     ),IF(D_I="SI",(Datos!J18-Datos!T18)/Datos!T18,(Datos!J18+Datos!AD18-(Datos!T18+Datos!AL18))/(Datos!T18+Datos!AL18))," - ")</f>
        <v>1.2618296529968454E-2</v>
      </c>
      <c r="D18" s="515">
        <f>IF(ISNUMBER(
   IF(D_I="SI",(Datos!K18-Datos!U18)/Datos!U18,(Datos!K18+Datos!AE18-(Datos!U18+Datos!AM18))/(Datos!U18+Datos!AM18))
     ),IF(D_I="SI",(Datos!K18-Datos!U18)/Datos!U18,(Datos!K18+Datos!AE18-(Datos!U18+Datos!AM18))/(Datos!U18+Datos!AM18))," - ")</f>
        <v>-8.7463556851311949E-2</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-0.4</v>
      </c>
      <c r="G18" s="516">
        <f>IF(ISNUMBER((Datos!N18-Datos!X18)/Datos!X18),(Datos!N18-Datos!X18)/Datos!X18," - ")</f>
        <v>0.15135135135135136</v>
      </c>
      <c r="H18" s="514">
        <f>IF(ISNUMBER(((NºAsuntos!G18/NºAsuntos!E18)-Datos!BD18)/Datos!BD18),((NºAsuntos!G18/NºAsuntos!E18)-Datos!BD18)/Datos!BD18," - ")</f>
        <v>-9.8834727482448204E-2</v>
      </c>
      <c r="I18" s="515">
        <f>IF(ISNUMBER(((NºAsuntos!I18/NºAsuntos!G18)-Datos!BE18)/Datos!BE18),((NºAsuntos!I18/NºAsuntos!G18)-Datos!BE18)/Datos!BE18," - ")</f>
        <v>-0.53035143769968052</v>
      </c>
      <c r="J18" s="521">
        <f>IF(ISNUMBER((('Resol  Asuntos'!D18/NºAsuntos!G18)-Datos!BF18)/Datos!BF18),(('Resol  Asuntos'!D18/NºAsuntos!G18)-Datos!BF18)/Datos!BF18," - ")</f>
        <v>-0.34249201277955271</v>
      </c>
      <c r="K18" s="522">
        <f>IF(ISNUMBER((((NºAsuntos!C18+NºAsuntos!E18)/NºAsuntos!G18)-Datos!BG18)/Datos!BG18),(((NºAsuntos!C18+NºAsuntos!E18)/NºAsuntos!G18)-Datos!BG18)/Datos!BG18," - ")</f>
        <v>-0.10455123654005442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-0.15924344112263575</v>
      </c>
      <c r="C23" s="1152">
        <f>IF(ISNUMBER(
   IF(Criterios!B14="SI",(Datos!J23-Datos!T23)/Datos!T23,(Datos!J23+Datos!AD23-(Datos!T23+Datos!AL23))/(Datos!T23+Datos!AL23))
     ),IF(Criterios!B14="SI",(Datos!J23-Datos!T23)/Datos!T23,(Datos!J23+Datos!AD23-(Datos!T23+Datos!AL23))/(Datos!T23+Datos!AL23))," - ")</f>
        <v>0.15949587136027815</v>
      </c>
      <c r="D23" s="1152">
        <f>IF(ISNUMBER(
   IF(Criterios!B14="SI",(Datos!K23-Datos!U23)/Datos!U23,(Datos!K23+Datos!AE23-(Datos!U23+Datos!AM23))/(Datos!U23+Datos!AM23))
     ),IF(Criterios!B14="SI",(Datos!K23-Datos!U23)/Datos!U23,(Datos!K23+Datos!AE23-(Datos!U23+Datos!AM23))/(Datos!U23+Datos!AM23))," - ")</f>
        <v>4.0335463258785939E-2</v>
      </c>
      <c r="E23" s="1152">
        <f>IF(ISNUMBER(
   IF(Criterios!B14="SI",(Datos!L23-Datos!V23)/Datos!V23,(Datos!L23+Datos!AF23-(Datos!V23+Datos!AN23))/(Datos!V23+Datos!AN23))
     ),IF(Criterios!B14="SI",(Datos!L23-Datos!V23)/Datos!V23,(Datos!L23+Datos!AF23-(Datos!V23+Datos!AN23))/(Datos!V23+Datos!AN23))," - ")</f>
        <v>-4.7233468286099868E-3</v>
      </c>
      <c r="F23" s="1153">
        <f>IF(ISNUMBER((Datos!M23-Datos!W23)/Datos!W23),(Datos!M23-Datos!W23)/Datos!W23," - ")</f>
        <v>-0.30418250950570341</v>
      </c>
      <c r="G23" s="1154">
        <f>IF(ISNUMBER((Datos!N23-Datos!X23)/Datos!X23),(Datos!N23-Datos!X23)/Datos!X23," - ")</f>
        <v>0.15881561238223418</v>
      </c>
      <c r="H23" s="1154">
        <f>IF(ISNUMBER(((NºAsuntos!G23/NºAsuntos!E23)-Datos!BD23)/Datos!BD23),((NºAsuntos!G23/NºAsuntos!E23)-Datos!BD23)/Datos!BD23," - ")</f>
        <v>-0.102769152564293</v>
      </c>
      <c r="I23" s="1154">
        <f>IF(ISNUMBER(((NºAsuntos!I23/NºAsuntos!G23)-Datos!BE23)/Datos!BE23),((NºAsuntos!I23/NºAsuntos!G23)-Datos!BE23)/Datos!BE23," - ")</f>
        <v>-4.3311808237558397E-2</v>
      </c>
      <c r="J23" s="1154">
        <f>IF(ISNUMBER((('Resol  Asuntos'!D23/NºAsuntos!G23)-Datos!BF23)/Datos!BF23),(('Resol  Asuntos'!D23/NºAsuntos!G23)-Datos!BF23)/Datos!BF23," - ")</f>
        <v>-0.33116046211220018</v>
      </c>
      <c r="K23" s="1154">
        <f>IF(ISNUMBER((((NºAsuntos!C23+NºAsuntos!E23)/NºAsuntos!G23)-Datos!BG23)/Datos!BG23),(((NºAsuntos!C23+NºAsuntos!E23)/NºAsuntos!G23)-Datos!BG23)/Datos!BG23," - ")</f>
        <v>-1.2911133411927452E-2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4.1294874455281176E-2</v>
      </c>
      <c r="C31" s="1092">
        <f>IF(ISNUMBER(
   IF(J_V="SI",(Datos!J31-Datos!T31)/Datos!T31,(Datos!J31+Datos!Z31-(Datos!T31+Datos!AH31))/(Datos!T31+Datos!AH31))
     ),IF(J_V="SI",(Datos!J31-Datos!T31)/Datos!T31,(Datos!J31+Datos!Z31-(Datos!T31+Datos!AH31))/(Datos!T31+Datos!AH31))," - ")</f>
        <v>6.1769616026711188E-2</v>
      </c>
      <c r="D31" s="1092">
        <f>IF(ISNUMBER(
   IF(J_V="SI",(Datos!K31-Datos!U31)/Datos!U31,(Datos!K31+Datos!AA31-(Datos!U31+Datos!AI31))/(Datos!U31+Datos!AI31))
     ),IF(J_V="SI",(Datos!K31-Datos!U31)/Datos!U31,(Datos!K31+Datos!AA31-(Datos!U31+Datos!AI31))/(Datos!U31+Datos!AI31))," - ")</f>
        <v>-5.7967719936349173E-2</v>
      </c>
      <c r="E31" s="1092">
        <f>IF(ISNUMBER(
   IF(J_V="SI",(Datos!L31-Datos!V31)/Datos!V31,(Datos!L31+Datos!AB31-(Datos!V31+Datos!AJ31))/(Datos!V31+Datos!AJ31))
     ),IF(J_V="SI",(Datos!L31-Datos!V31)/Datos!V31,(Datos!L31+Datos!AB31-(Datos!V31+Datos!AJ31))/(Datos!V31+Datos!AJ31))," - ")</f>
        <v>0.15046147241897403</v>
      </c>
      <c r="F31" s="1093">
        <f>IF(ISNUMBER((Datos!M31-Datos!W31)/Datos!W31),(Datos!M31-Datos!W31)/Datos!W31," - ")</f>
        <v>-0.1975867269984917</v>
      </c>
      <c r="G31" s="1094">
        <f>IF(ISNUMBER((Datos!N31-Datos!X31)/Datos!X31),(Datos!N31-Datos!X31)/Datos!X31," - ")</f>
        <v>5.6680161943319842E-3</v>
      </c>
      <c r="H31" s="1095">
        <f>IF(ISNUMBER((Tasas!B31-Datos!BD31)/Datos!BD31),(Tasas!B31-Datos!BD31)/Datos!BD31," - ")</f>
        <v>-0.11277148465703321</v>
      </c>
      <c r="I31" s="1096">
        <f>IF(ISNUMBER((Tasas!C31-Datos!BE31)/Datos!BE31),(Tasas!C31-Datos!BE31)/Datos!BE31," - ")</f>
        <v>0.22125483039842353</v>
      </c>
      <c r="J31" s="1097">
        <f>IF(ISNUMBER((Tasas!D31-Datos!BF31)/Datos!BF31),(Tasas!D31-Datos!BF31)/Datos!BF31," - ")</f>
        <v>-0.54784909008287719</v>
      </c>
      <c r="K31" s="1097">
        <f>IF(ISNUMBER((Tasas!E31-Datos!BG31)/Datos!BG31),(Tasas!E31-Datos!BG31)/Datos!BG31," - ")</f>
        <v>0.11548314173979951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FNgMo93fZldGhFIXSaxDN7YQWedh7AjaHGeV72ukZaSB/0Pcp6QBVDtk9DVjrn/kf/jAd1Vbz+uUqFVNoInTg==" saltValue="T8RYBqCWrof5enDB+yCs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COSLADA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1.0714285714285714</v>
      </c>
      <c r="C10" s="498">
        <f>IF(ISNUMBER(NºAsuntos!I10/NºAsuntos!G10),NºAsuntos!I10/NºAsuntos!G10," - ")</f>
        <v>0.8</v>
      </c>
      <c r="D10" s="499">
        <f>IF(ISNUMBER('Resol  Asuntos'!D10/NºAsuntos!G10),'Resol  Asuntos'!D10/NºAsuntos!G10," - ")</f>
        <v>0.46666666666666667</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0.85933940774487472</v>
      </c>
      <c r="C12" s="498">
        <f>IF(ISNUMBER(NºAsuntos!I12/NºAsuntos!G12),NºAsuntos!I12/NºAsuntos!G12," - ")</f>
        <v>2.5586481113320079</v>
      </c>
      <c r="D12" s="499">
        <f>IF(ISNUMBER('Resol  Asuntos'!D12/NºAsuntos!G12),'Resol  Asuntos'!D12/NºAsuntos!G12," - ")</f>
        <v>0.22200132538104705</v>
      </c>
      <c r="E12" s="500">
        <f>IF(ISNUMBER((NºAsuntos!C12+NºAsuntos!E12)/NºAsuntos!G12),(NºAsuntos!C12+NºAsuntos!E12)/NºAsuntos!G12," - ")</f>
        <v>3.5586481113320079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0.8626681614349776</v>
      </c>
      <c r="C14" s="1156">
        <f>IF(ISNUMBER(NºAsuntos!I14/NºAsuntos!G14),NºAsuntos!I14/NºAsuntos!G14," - ")</f>
        <v>2.5243664717348926</v>
      </c>
      <c r="D14" s="1157">
        <f>IF(ISNUMBER('Resol  Asuntos'!D14/NºAsuntos!G14),'Resol  Asuntos'!D14/NºAsuntos!G14," - ")</f>
        <v>0.2267706302794022</v>
      </c>
      <c r="E14" s="1158">
        <f>IF(ISNUMBER((NºAsuntos!C14+NºAsuntos!E14)/NºAsuntos!G14),(NºAsuntos!C14+NºAsuntos!E14)/NºAsuntos!G14," - ")</f>
        <v>3.5243664717348926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0.97656582871751174</v>
      </c>
      <c r="C17" s="498">
        <f>IF(ISNUMBER(NºAsuntos!I17/NºAsuntos!G17),NºAsuntos!I17/NºAsuntos!G17," - ")</f>
        <v>0.62652705061082026</v>
      </c>
      <c r="D17" s="499">
        <f>IF(ISNUMBER('Resol  Asuntos'!D17/NºAsuntos!G17),'Resol  Asuntos'!D17/NºAsuntos!G17," - ")</f>
        <v>7.4607329842931933E-2</v>
      </c>
      <c r="E17" s="500">
        <f>IF(ISNUMBER((NºAsuntos!C17+NºAsuntos!E17)/NºAsuntos!G17),(NºAsuntos!C17+NºAsuntos!E17)/NºAsuntos!G17," - ")</f>
        <v>1.6112565445026179</v>
      </c>
      <c r="G17" s="523"/>
    </row>
    <row r="18" spans="1:7">
      <c r="A18" s="450" t="str">
        <f>Datos!A18</f>
        <v>Jdos. Violencia contra la mujer</v>
      </c>
      <c r="B18" s="497">
        <f>IF(ISNUMBER(NºAsuntos!G18/NºAsuntos!E18),NºAsuntos!G18/NºAsuntos!E18," - ")</f>
        <v>0.97507788161993769</v>
      </c>
      <c r="C18" s="498">
        <f>IF(ISNUMBER(NºAsuntos!I18/NºAsuntos!G18),NºAsuntos!I18/NºAsuntos!G18," - ")</f>
        <v>0.12460063897763578</v>
      </c>
      <c r="D18" s="499">
        <f>IF(ISNUMBER('Resol  Asuntos'!D18/NºAsuntos!G18),'Resol  Asuntos'!D18/NºAsuntos!G18," - ")</f>
        <v>3.8338658146964855E-2</v>
      </c>
      <c r="E18" s="500">
        <f>IF(ISNUMBER((NºAsuntos!C18+NºAsuntos!E18)/NºAsuntos!G18),(NºAsuntos!C18+NºAsuntos!E18)/NºAsuntos!G18," - ")</f>
        <v>1.1277955271565496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0.97638680659670163</v>
      </c>
      <c r="C23" s="1156">
        <f>IF(ISNUMBER(NºAsuntos!I23/NºAsuntos!G23),NºAsuntos!I23/NºAsuntos!G23," - ")</f>
        <v>0.56621880998080609</v>
      </c>
      <c r="D23" s="1159">
        <f>IF(ISNUMBER('Resol  Asuntos'!D23/NºAsuntos!G23),'Resol  Asuntos'!D23/NºAsuntos!G23," - ")</f>
        <v>7.0249520153550862E-2</v>
      </c>
      <c r="E23" s="1158">
        <f>IF(ISNUMBER((NºAsuntos!C23+NºAsuntos!E23)/NºAsuntos!G23),(NºAsuntos!C23+NºAsuntos!E23)/NºAsuntos!G23," - ")</f>
        <v>1.5531669865642994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0.9308176100628931</v>
      </c>
      <c r="C31" s="1099">
        <f>IF(ISNUMBER(NºAsuntos!I31/NºAsuntos!G31),NºAsuntos!I31/NºAsuntos!G31," - ")</f>
        <v>1.2934362934362935</v>
      </c>
      <c r="D31" s="1100">
        <f>IF(ISNUMBER('Resol  Asuntos'!D31/NºAsuntos!G31),'Resol  Asuntos'!D31/NºAsuntos!G31," - ")</f>
        <v>0.12837837837837837</v>
      </c>
      <c r="E31" s="1101">
        <f>IF(ISNUMBER((NºAsuntos!C31+NºAsuntos!E31)/NºAsuntos!G31),(NºAsuntos!C31+NºAsuntos!E31)/NºAsuntos!G31," - ")</f>
        <v>2.28523166023166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XTONjdNXj9dCcU7bOAuA3UhPLxEH9Q9Wf1TdhZE1R5dYjIGXUb6foVxooPQSXjnZzLxnCi41uu5BZD965C+vg==" saltValue="BXoyCSILrDItAYl/1Dde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COSLADA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20</v>
      </c>
      <c r="Y10" s="374">
        <f t="shared" ref="Y10:Y13" si="0">SUM(W10:X10)</f>
        <v>50</v>
      </c>
      <c r="Z10" s="375" t="str">
        <f>IF(ISNUMBER(Datos!CC10),Datos!CC10," - ")</f>
        <v xml:space="preserve"> - </v>
      </c>
      <c r="AA10" s="372">
        <f>IF(ISNUMBER(Datos!L10),Datos!L10,"-")</f>
        <v>24</v>
      </c>
      <c r="AB10" s="374">
        <f>IF(ISNUMBER(Datos!R10),Datos!R10," - ")</f>
        <v>59</v>
      </c>
      <c r="AC10" s="374">
        <f t="shared" ref="AC10:AC13" si="1">IF(ISNUMBER(AA10+AB10),AA10+AB10," - ")</f>
        <v>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1.0714285714285714</v>
      </c>
      <c r="AM10" s="284">
        <f>IF(ISNUMBER(((NºAsuntos!I10/NºAsuntos!G10)*11)/factor_trimestre),((NºAsuntos!I10/NºAsuntos!G10)*11)/factor_trimestre," - ")</f>
        <v>2.4000000000000004</v>
      </c>
      <c r="AN10" s="267">
        <f>IF(ISNUMBER('Resol  Asuntos'!D10/NºAsuntos!G10),'Resol  Asuntos'!D10/NºAsuntos!G10," - ")</f>
        <v>0.46666666666666667</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224</v>
      </c>
      <c r="Y12" s="374">
        <f t="shared" si="0"/>
        <v>224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335</v>
      </c>
      <c r="AJ12" s="243" t="str">
        <f>IF(ISNUMBER(Datos!BW12),Datos!BW12," - ")</f>
        <v xml:space="preserve"> - </v>
      </c>
      <c r="AK12" s="242" t="str">
        <f>IF(ISNUMBER(Datos!BX12),Datos!BX12," - ")</f>
        <v xml:space="preserve"> - </v>
      </c>
      <c r="AL12" s="266">
        <f>IF(ISNUMBER(NºAsuntos!G12/NºAsuntos!E12),NºAsuntos!G12/NºAsuntos!E12," - ")</f>
        <v>0.85933940774487472</v>
      </c>
      <c r="AM12" s="284">
        <f>IF(ISNUMBER(((NºAsuntos!I12/NºAsuntos!G12)*11)/factor_trimestre),((NºAsuntos!I12/NºAsuntos!G12)*11)/factor_trimestre," - ")</f>
        <v>7.675944333996024</v>
      </c>
      <c r="AN12" s="267">
        <f>IF(ISNUMBER('Resol  Asuntos'!D12/NºAsuntos!G12),'Resol  Asuntos'!D12/NºAsuntos!G12," - ")</f>
        <v>0.22200132538104705</v>
      </c>
      <c r="AO12" s="268">
        <f>IF(ISNUMBER((NºAsuntos!C12+NºAsuntos!E12)/NºAsuntos!G12),(NºAsuntos!C12+NºAsuntos!E12)/NºAsuntos!G12," - ")</f>
        <v>3.5586481113320079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26</v>
      </c>
      <c r="G14" s="1163">
        <f t="shared" si="5"/>
        <v>26</v>
      </c>
      <c r="H14" s="1162">
        <f t="shared" si="5"/>
        <v>0</v>
      </c>
      <c r="I14" s="1164">
        <f t="shared" si="5"/>
        <v>0</v>
      </c>
      <c r="J14" s="1164">
        <f t="shared" si="5"/>
        <v>0</v>
      </c>
      <c r="K14" s="1164">
        <f t="shared" si="5"/>
        <v>0</v>
      </c>
      <c r="L14" s="1164">
        <f t="shared" si="5"/>
        <v>302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244</v>
      </c>
      <c r="Y14" s="1165">
        <f t="shared" si="6"/>
        <v>274</v>
      </c>
      <c r="Z14" s="1165">
        <f t="shared" si="6"/>
        <v>0</v>
      </c>
      <c r="AA14" s="1165">
        <f t="shared" si="6"/>
        <v>24</v>
      </c>
      <c r="AB14" s="1165">
        <f t="shared" si="6"/>
        <v>6414</v>
      </c>
      <c r="AC14" s="1165">
        <f t="shared" si="6"/>
        <v>83</v>
      </c>
      <c r="AD14" s="1165">
        <f t="shared" si="6"/>
        <v>0</v>
      </c>
      <c r="AE14" s="1169">
        <f t="shared" si="6"/>
        <v>0</v>
      </c>
      <c r="AF14" s="1162">
        <f t="shared" si="6"/>
        <v>0</v>
      </c>
      <c r="AG14" s="1170">
        <f t="shared" si="6"/>
        <v>0</v>
      </c>
      <c r="AH14" s="1167">
        <f t="shared" si="6"/>
        <v>0</v>
      </c>
      <c r="AI14" s="1162">
        <f t="shared" si="6"/>
        <v>349</v>
      </c>
      <c r="AJ14" s="1164">
        <f t="shared" si="6"/>
        <v>0</v>
      </c>
      <c r="AK14" s="1167">
        <f>SUBTOTAL(9,AK9:AK13)</f>
        <v>0</v>
      </c>
      <c r="AL14" s="1171">
        <f>IF(ISNUMBER(NºAsuntos!G14/NºAsuntos!E14),NºAsuntos!G14/NºAsuntos!E14," - ")</f>
        <v>0.8626681614349776</v>
      </c>
      <c r="AM14" s="1171">
        <f>IF(ISNUMBER(((NºAsuntos!I14/NºAsuntos!G14)*11)/factor_trimestre),((NºAsuntos!I14/NºAsuntos!G14)*11)/factor_trimestre," - ")</f>
        <v>7.5730994152046778</v>
      </c>
      <c r="AN14" s="1172">
        <f>IF(ISNUMBER('Resol  Asuntos'!D14/NºAsuntos!G14),'Resol  Asuntos'!D14/NºAsuntos!G14," - ")</f>
        <v>0.2267706302794022</v>
      </c>
      <c r="AO14" s="1173">
        <f>IF(ISNUMBER((NºAsuntos!C14+NºAsuntos!E14)/NºAsuntos!G14),(NºAsuntos!C14+NºAsuntos!E14)/NºAsuntos!G14," - ")</f>
        <v>3.5243664717348926</v>
      </c>
      <c r="AP14" s="1174" t="str">
        <f t="shared" si="2"/>
        <v xml:space="preserve"> - </v>
      </c>
      <c r="AQ14" s="1174">
        <f>IF(ISNUMBER((H14-W14+K14)/(F14)),(H14-W14+K14)/(F14)," - ")</f>
        <v>-1.1538461538461537</v>
      </c>
      <c r="AR14" s="1175">
        <f>IF(ISNUMBER((Datos!P14-Datos!Q14)/(Datos!R14-Datos!P14+Datos!Q14)),(Datos!P14-Datos!Q14)/(Datos!R14-Datos!P14+Datos!Q14)," - ")</f>
        <v>9.1252359974826943E-3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1381</v>
      </c>
      <c r="G17" s="373">
        <f>IF(ISNUMBER(IF(D_I="SI",Datos!I17,Datos!I17+Datos!AC17)),IF(D_I="SI",Datos!I17,Datos!I17+Datos!AC17)," - ")</f>
        <v>1346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2292</v>
      </c>
      <c r="X17" s="240">
        <f>IF(ISNUMBER(Datos!Q17),Datos!Q17," - ")</f>
        <v>33</v>
      </c>
      <c r="Y17" s="374">
        <f t="shared" ref="Y17:Y22" si="9">SUM(W17:X17)</f>
        <v>2325</v>
      </c>
      <c r="Z17" s="375" t="str">
        <f>IF(ISNUMBER(Datos!CC17),Datos!CC17," - ")</f>
        <v xml:space="preserve"> - </v>
      </c>
      <c r="AA17" s="372">
        <f>IF(ISNUMBER(IF(D_I="SI",Datos!L17,Datos!L17+Datos!AF17)),IF(D_I="SI",Datos!L17,Datos!L17+Datos!AF17)," - ")</f>
        <v>1436</v>
      </c>
      <c r="AB17" s="374">
        <f>IF(ISNUMBER(Datos!R17),Datos!R17," - ")</f>
        <v>285</v>
      </c>
      <c r="AC17" s="374">
        <f t="shared" si="8"/>
        <v>1721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171</v>
      </c>
      <c r="AJ17" s="245" t="str">
        <f>IF(ISNUMBER(Datos!BW17),Datos!BW17," - ")</f>
        <v xml:space="preserve"> - </v>
      </c>
      <c r="AK17" s="246" t="str">
        <f>IF(ISNUMBER(Datos!BX17),Datos!BX17," - ")</f>
        <v xml:space="preserve"> - </v>
      </c>
      <c r="AL17" s="266">
        <f>IF(ISNUMBER(NºAsuntos!G17/NºAsuntos!E17),NºAsuntos!G17/NºAsuntos!E17," - ")</f>
        <v>0.97656582871751174</v>
      </c>
      <c r="AM17" s="284">
        <f>IF(ISNUMBER(((NºAsuntos!I17/NºAsuntos!G17)*11)/factor_trimestre),((NºAsuntos!I17/NºAsuntos!G17)*11)/factor_trimestre," - ")</f>
        <v>1.879581151832461</v>
      </c>
      <c r="AN17" s="267">
        <f>IF(ISNUMBER('Resol  Asuntos'!D17/NºAsuntos!G17),'Resol  Asuntos'!D17/NºAsuntos!G17," - ")</f>
        <v>7.4607329842931933E-2</v>
      </c>
      <c r="AO17" s="268">
        <f>IF(ISNUMBER((NºAsuntos!C17+NºAsuntos!E17)/NºAsuntos!G17),(NºAsuntos!C17+NºAsuntos!E17)/NºAsuntos!G17," - ")</f>
        <v>1.6112565445026179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313</v>
      </c>
      <c r="X18" s="240">
        <f>IF(ISNUMBER(Datos!Q18),Datos!Q18," - ")</f>
        <v>0</v>
      </c>
      <c r="Y18" s="374">
        <f t="shared" si="9"/>
        <v>313</v>
      </c>
      <c r="Z18" s="375" t="str">
        <f>IF(ISNUMBER(Datos!CC18),Datos!CC18," - ")</f>
        <v xml:space="preserve"> - </v>
      </c>
      <c r="AA18" s="372">
        <f>IF(ISNUMBER(Datos!L18),Datos!L18,"-")</f>
        <v>39</v>
      </c>
      <c r="AB18" s="374">
        <f>IF(ISNUMBER(Datos!R18),Datos!R18," - ")</f>
        <v>6</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0.97507788161993769</v>
      </c>
      <c r="AM18" s="284">
        <f>IF(ISNUMBER(((NºAsuntos!I18/NºAsuntos!G18)*11)/factor_trimestre),((NºAsuntos!I18/NºAsuntos!G18)*11)/factor_trimestre," - ")</f>
        <v>0.37380191693290732</v>
      </c>
      <c r="AN18" s="267">
        <f>IF(ISNUMBER('Resol  Asuntos'!D18/NºAsuntos!G18),'Resol  Asuntos'!D18/NºAsuntos!G18," - ")</f>
        <v>3.8338658146964855E-2</v>
      </c>
      <c r="AO18" s="268">
        <f>IF(ISNUMBER((NºAsuntos!C18+NºAsuntos!E18)/NºAsuntos!G18),(NºAsuntos!C18+NºAsuntos!E18)/NºAsuntos!G18," - ")</f>
        <v>1.1277955271565496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1381</v>
      </c>
      <c r="G23" s="1163">
        <f>SUBTOTAL(9,G16:G22)</f>
        <v>1378</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2605</v>
      </c>
      <c r="X23" s="1164">
        <f t="shared" si="14"/>
        <v>33</v>
      </c>
      <c r="Y23" s="1165">
        <f t="shared" si="14"/>
        <v>2638</v>
      </c>
      <c r="Z23" s="1165">
        <f t="shared" si="14"/>
        <v>0</v>
      </c>
      <c r="AA23" s="1165">
        <f t="shared" si="14"/>
        <v>1475</v>
      </c>
      <c r="AB23" s="1165">
        <f t="shared" si="14"/>
        <v>291</v>
      </c>
      <c r="AC23" s="1165">
        <f t="shared" si="14"/>
        <v>1766</v>
      </c>
      <c r="AD23" s="1165">
        <f t="shared" si="14"/>
        <v>0</v>
      </c>
      <c r="AE23" s="1169">
        <f t="shared" si="14"/>
        <v>0</v>
      </c>
      <c r="AF23" s="1162">
        <f t="shared" si="14"/>
        <v>0</v>
      </c>
      <c r="AG23" s="1170">
        <f t="shared" si="14"/>
        <v>0</v>
      </c>
      <c r="AH23" s="1167">
        <f t="shared" si="14"/>
        <v>0</v>
      </c>
      <c r="AI23" s="1162">
        <f t="shared" si="14"/>
        <v>183</v>
      </c>
      <c r="AJ23" s="1164">
        <f t="shared" si="14"/>
        <v>0</v>
      </c>
      <c r="AK23" s="1167">
        <f t="shared" si="14"/>
        <v>0</v>
      </c>
      <c r="AL23" s="1171">
        <f>IF(ISNUMBER(NºAsuntos!G23/NºAsuntos!E23),NºAsuntos!G23/NºAsuntos!E23," - ")</f>
        <v>0.97638680659670163</v>
      </c>
      <c r="AM23" s="1171">
        <f>IF(ISNUMBER(((NºAsuntos!I23/NºAsuntos!G23)*11)/factor_trimestre),((NºAsuntos!I23/NºAsuntos!G23)*11)/factor_trimestre," - ")</f>
        <v>1.6986564299424183</v>
      </c>
      <c r="AN23" s="1172">
        <f>IF(ISNUMBER('Resol  Asuntos'!D23/NºAsuntos!G23),'Resol  Asuntos'!D23/NºAsuntos!G23," - ")</f>
        <v>7.0249520153550862E-2</v>
      </c>
      <c r="AO23" s="1173">
        <f>IF(ISNUMBER((NºAsuntos!C23+NºAsuntos!E23)/NºAsuntos!G23),(NºAsuntos!C23+NºAsuntos!E23)/NºAsuntos!G23," - ")</f>
        <v>1.5531669865642994</v>
      </c>
      <c r="AP23" s="1174" t="str">
        <f t="shared" si="2"/>
        <v xml:space="preserve"> - </v>
      </c>
      <c r="AQ23" s="1174">
        <f>IF(ISNUMBER((H23-W23+K23)/(F23)),(H23-W23+K23)/(F23)," - ")</f>
        <v>-1.8863142650253439</v>
      </c>
      <c r="AR23" s="1175">
        <f>IF(ISNUMBER((Datos!P23-Datos!Q23)/(Datos!R23-Datos!P23+Datos!Q23)),(Datos!P23-Datos!Q23)/(Datos!R23-Datos!P23+Datos!Q23)," - ")</f>
        <v>0.10227272727272728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1407</v>
      </c>
      <c r="G31" s="1118">
        <f t="shared" si="20"/>
        <v>1404</v>
      </c>
      <c r="H31" s="1117">
        <f t="shared" si="20"/>
        <v>0</v>
      </c>
      <c r="I31" s="1119">
        <f t="shared" si="20"/>
        <v>0</v>
      </c>
      <c r="J31" s="1119">
        <f t="shared" si="20"/>
        <v>0</v>
      </c>
      <c r="K31" s="1180">
        <f t="shared" si="20"/>
        <v>0</v>
      </c>
      <c r="L31" s="1119">
        <f t="shared" si="20"/>
        <v>362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2635</v>
      </c>
      <c r="X31" s="1118">
        <f t="shared" si="21"/>
        <v>277</v>
      </c>
      <c r="Y31" s="1125">
        <f t="shared" si="21"/>
        <v>2912</v>
      </c>
      <c r="Z31" s="1125">
        <f t="shared" si="21"/>
        <v>0</v>
      </c>
      <c r="AA31" s="1125">
        <f t="shared" si="21"/>
        <v>1499</v>
      </c>
      <c r="AB31" s="1125">
        <f t="shared" si="21"/>
        <v>6705</v>
      </c>
      <c r="AC31" s="1125">
        <f t="shared" si="21"/>
        <v>1849</v>
      </c>
      <c r="AD31" s="1125">
        <f t="shared" si="21"/>
        <v>0</v>
      </c>
      <c r="AE31" s="1127">
        <f t="shared" si="21"/>
        <v>0</v>
      </c>
      <c r="AF31" s="1128">
        <f t="shared" si="21"/>
        <v>0</v>
      </c>
      <c r="AG31" s="1129">
        <f t="shared" si="21"/>
        <v>0</v>
      </c>
      <c r="AH31" s="1127">
        <f t="shared" si="21"/>
        <v>0</v>
      </c>
      <c r="AI31" s="1117">
        <f t="shared" si="21"/>
        <v>532</v>
      </c>
      <c r="AJ31" s="1117">
        <f t="shared" si="21"/>
        <v>0</v>
      </c>
      <c r="AK31" s="1127">
        <f t="shared" si="21"/>
        <v>0</v>
      </c>
      <c r="AL31" s="1183">
        <f>IF(ISNUMBER(NºAsuntos!G31/NºAsuntos!E31),NºAsuntos!G31/NºAsuntos!E31," - ")</f>
        <v>0.9308176100628931</v>
      </c>
      <c r="AM31" s="1184">
        <f>IF(ISNUMBER(((NºAsuntos!I31/NºAsuntos!G31)*11)/factor_trimestre),((NºAsuntos!I31/NºAsuntos!G31)*11)/factor_trimestre," - ")</f>
        <v>3.8803088803088808</v>
      </c>
      <c r="AN31" s="1184">
        <f>IF(ISNUMBER('Resol  Asuntos'!D31/NºAsuntos!G31),'Resol  Asuntos'!D31/NºAsuntos!G31," - ")</f>
        <v>0.12837837837837837</v>
      </c>
      <c r="AO31" s="1185">
        <f>IF(ISNUMBER((NºAsuntos!C31+NºAsuntos!E31)/NºAsuntos!G31),(NºAsuntos!C31+NºAsuntos!E31)/NºAsuntos!G31," - ")</f>
        <v>2.28523166023166</v>
      </c>
      <c r="AP31" s="1186" t="str">
        <f t="shared" si="2"/>
        <v xml:space="preserve"> - </v>
      </c>
      <c r="AQ31" s="1187">
        <f>IF(OR(ISNUMBER(FIND("01",Criterios!A8,1)),ISNUMBER(FIND("02",Criterios!A8,1)),ISNUMBER(FIND("03",Criterios!A8,1)),ISNUMBER(FIND("04",Criterios!A8,1))),(I31-W31+K31)/(F31-K31),(H31-W31+K31)/(F31-K31))</f>
        <v>-1.8727789623312012</v>
      </c>
      <c r="AR31" s="1188">
        <f>IF(ISNUMBER((Datos!P31-Datos!Q31)/(Datos!R31-Datos!P31+Datos!Q31)),(Datos!P31-Datos!Q31)/(Datos!R31-Datos!P31+Datos!Q31)," - ")</f>
        <v>1.283987915407855E-2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2.6950246556825488</v>
      </c>
      <c r="F33" s="276">
        <f>IF(ISNUMBER(STDEV(F8:F30)),STDEV(F8:F30),"-")</f>
        <v>706.52784800034601</v>
      </c>
      <c r="G33" s="277">
        <f>IF(ISNUMBER(STDEV(G8:G30)),STDEV(G8:G30),"-")</f>
        <v>656.57785234538346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1167.0119149022471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149.08482724370617</v>
      </c>
      <c r="AJ33" s="276">
        <f t="shared" si="25"/>
        <v>0</v>
      </c>
      <c r="AK33" s="278">
        <f t="shared" si="25"/>
        <v>0</v>
      </c>
      <c r="AL33" s="273">
        <f t="shared" si="25"/>
        <v>8.0678615557121927E-2</v>
      </c>
      <c r="AM33" s="274">
        <f t="shared" si="25"/>
        <v>3.188170115821245</v>
      </c>
      <c r="AN33" s="274">
        <f t="shared" si="25"/>
        <v>0.16080561413717753</v>
      </c>
      <c r="AO33" s="275">
        <f t="shared" si="25"/>
        <v>1.0653077722775153</v>
      </c>
      <c r="AP33" s="317" t="str">
        <f t="shared" si="25"/>
        <v>-</v>
      </c>
      <c r="AQ33" s="318">
        <f t="shared" si="25"/>
        <v>0.5179331684177072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h8fg28lGs8KPRSYW63zofPXD3Vn5A1H/onMjQ47MwfUFubLx+tEEmBLa/iRyJJuCESWoMFceDhtdVGwm3Rq+Q==" saltValue="O6vwKWK2v31LGbYAu49V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COSLADA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-0.67500000000000004</v>
      </c>
      <c r="E10" s="393">
        <f>IF(ISNUMBER((Datos!J10-Datos!T10)/Datos!T10),(Datos!J10-Datos!T10)/Datos!T10," - ")</f>
        <v>-0.34883720930232559</v>
      </c>
      <c r="F10" s="393">
        <f>IF(ISNUMBER((Datos!K10-Datos!U10)/Datos!U10),(Datos!K10-Datos!U10)/Datos!U10," - ")</f>
        <v>-0.44444444444444442</v>
      </c>
      <c r="G10" s="394">
        <f>IF(ISNUMBER((Datos!L10-Datos!V10)/Datos!V10),(Datos!L10-Datos!V10)/Datos!V10," - ")</f>
        <v>-0.65217391304347827</v>
      </c>
      <c r="H10" s="244">
        <f>IF(ISNUMBER((Datos!M10-Datos!W10)/Datos!W10),(Datos!M10-Datos!W10)/Datos!W10," - ")</f>
        <v>-0.36363636363636365</v>
      </c>
      <c r="I10" s="395">
        <f>IF(ISNUMBER((Tasas!C10-Datos!BE10)/Datos!BE10),(Tasas!C10-Datos!BE10)/Datos!BE10," - ")</f>
        <v>-0.37391304347826076</v>
      </c>
      <c r="J10" s="394">
        <f>IF(ISNUMBER((Tasas!D10-Datos!BF10)/Datos!BF10),(Tasas!D10-Datos!BF10)/Datos!BF10," - ")</f>
        <v>0.14545454545454553</v>
      </c>
      <c r="K10" s="396">
        <f>IF(ISNUMBER((Tasas!E10-Datos!BG10)/Datos!BG10),(Tasas!E10-Datos!BG10)/Datos!BG10," - ")</f>
        <v>-0.20975609756097555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-0.11375661375661375</v>
      </c>
      <c r="I12" s="395">
        <f>IF(ISNUMBER((Tasas!C12-Datos!BE12)/Datos!BE12),(Tasas!C12-Datos!BE12)/Datos!BE12," - ")</f>
        <v>0.51559561549621191</v>
      </c>
      <c r="J12" s="394">
        <f>IF(ISNUMBER((Tasas!D12-Datos!BF12)/Datos!BF12),(Tasas!D12-Datos!BF12)/Datos!BF12," - ")</f>
        <v>-0.576032738561714</v>
      </c>
      <c r="K12" s="396">
        <f>IF(ISNUMBER((Tasas!E12-Datos!BG12)/Datos!BG12),(Tasas!E12-Datos!BG12)/Datos!BG12," - ")</f>
        <v>0.32379696362138327</v>
      </c>
      <c r="M12" t="e">
        <f>IF(Monitorios="SI",Datos!CE12,0)</f>
        <v>#REF!</v>
      </c>
      <c r="N12" t="e">
        <f>IF(Monitorios="SI",Datos!CF12,0)</f>
        <v>#REF!</v>
      </c>
      <c r="O12" t="e">
        <f>IF(Monitorios="SI",Datos!CG12,0)</f>
        <v>#REF!</v>
      </c>
      <c r="P12" t="e">
        <f>IF(Monitorios="SI",Datos!CH12,0)</f>
        <v>#REF!</v>
      </c>
      <c r="Q12">
        <f>IF(J_V="SI",0,Datos!AG12)</f>
        <v>146</v>
      </c>
      <c r="R12">
        <f>IF(J_V="SI",0,Datos!AH12)</f>
        <v>186</v>
      </c>
      <c r="S12">
        <f>IF(J_V="SI",0,Datos!AI12)</f>
        <v>194</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-0.1275</v>
      </c>
      <c r="I14" s="402">
        <f>IF(ISNUMBER((Tasas!C14-Datos!BE14)/Datos!BE14),(Tasas!C14-Datos!BE14)/Datos!BE14," - ")</f>
        <v>0.50572063705937098</v>
      </c>
      <c r="J14" s="400">
        <f>IF(ISNUMBER((Tasas!D14-Datos!BF14)/Datos!BF14),(Tasas!D14-Datos!BF14)/Datos!BF14," - ")</f>
        <v>-0.5641680077287351</v>
      </c>
      <c r="K14" s="403">
        <f>IF(ISNUMBER((Tasas!E14-Datos!BG14)/Datos!BG14),(Tasas!E14-Datos!BG14)/Datos!BG14," - ")</f>
        <v>0.31677335645457827</v>
      </c>
      <c r="M14" t="e">
        <f>IF(Monitorios="SI",Datos!CE14,0)</f>
        <v>#REF!</v>
      </c>
      <c r="N14" t="e">
        <f>IF(Monitorios="SI",Datos!CF14,0)</f>
        <v>#REF!</v>
      </c>
      <c r="O14" t="e">
        <f>IF(Monitorios="SI",Datos!CG14,0)</f>
        <v>#REF!</v>
      </c>
      <c r="P14" t="e">
        <f>IF(Monitorios="SI",Datos!CH14,0)</f>
        <v>#REF!</v>
      </c>
      <c r="Q14">
        <f>IF(J_V="SI",0,Datos!AG14)</f>
        <v>146</v>
      </c>
      <c r="R14">
        <f>IF(J_V="SI",0,Datos!AH14)</f>
        <v>186</v>
      </c>
      <c r="S14">
        <f>IF(J_V="SI",0,Datos!AI14)</f>
        <v>194</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-0.1167979002624672</v>
      </c>
      <c r="E17" s="393">
        <f>IF(ISNUMBER(
   IF(D_I="SI",(Datos!J17-Datos!T17)/Datos!T17,(Datos!J17+Datos!AD17-(Datos!T17+Datos!AL17))/(Datos!T17+Datos!AL17))
     ),IF(D_I="SI",(Datos!J17-Datos!T17)/Datos!T17,(Datos!J17+Datos!AD17-(Datos!T17+Datos!AL17))/(Datos!T17+Datos!AL17))," - ")</f>
        <v>0.18296370967741934</v>
      </c>
      <c r="F17" s="393">
        <f>IF(ISNUMBER(
   IF(D_I="SI",(Datos!K17-Datos!U17)/Datos!U17,(Datos!K17+Datos!AE17-(Datos!U17+Datos!AM17))/(Datos!U17+Datos!AM17))
     ),IF(D_I="SI",(Datos!K17-Datos!U17)/Datos!U17,(Datos!K17+Datos!AE17-(Datos!U17+Datos!AM17))/(Datos!U17+Datos!AM17))," - ")</f>
        <v>6.0620083294770942E-2</v>
      </c>
      <c r="G17" s="394">
        <f>IF(ISNUMBER(
   IF(D_I="SI",(Datos!L17-Datos!V17)/Datos!V17,(Datos!L17+Datos!AF17-(Datos!V17+Datos!AN17))/(Datos!V17+Datos!AN17))
     ),IF(D_I="SI",(Datos!L17-Datos!V17)/Datos!V17,(Datos!L17+Datos!AF17-(Datos!V17+Datos!AN17))/(Datos!V17+Datos!AN17))," - ")</f>
        <v>3.235082674335011E-2</v>
      </c>
      <c r="H17" s="244">
        <f>IF(ISNUMBER((Datos!M17-Datos!W17)/Datos!W17),(Datos!M17-Datos!W17)/Datos!W17," - ")</f>
        <v>-0.29629629629629628</v>
      </c>
      <c r="I17" s="395">
        <f>IF(ISNUMBER((Tasas!C17-Datos!BE17)/Datos!BE17),(Tasas!C17-Datos!BE17)/Datos!BE17," - ")</f>
        <v>-2.6653518066152057E-2</v>
      </c>
      <c r="J17" s="394">
        <f>IF(ISNUMBER((Tasas!D17-Datos!BF17)/Datos!BF17),(Tasas!D17-Datos!BF17)/Datos!BF17," - ")</f>
        <v>-0.33651670868075761</v>
      </c>
      <c r="K17" s="396">
        <f>IF(ISNUMBER((Tasas!E17-Datos!BG17)/Datos!BG17),(Tasas!E17-Datos!BG17)/Datos!BG17," - ")</f>
        <v>-7.4328983266370025E-3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-0.72173913043478266</v>
      </c>
      <c r="E18" s="393">
        <f>IF(ISNUMBER(
   IF(D_I="SI",(Datos!J18-Datos!T18)/Datos!T18,(Datos!J18+Datos!AD18-(Datos!T18+Datos!AL18))/(Datos!T18+Datos!AL18))
     ),IF(D_I="SI",(Datos!J18-Datos!T18)/Datos!T18,(Datos!J18+Datos!AD18-(Datos!T18+Datos!AL18))/(Datos!T18+Datos!AL18))," - ")</f>
        <v>1.2618296529968454E-2</v>
      </c>
      <c r="F18" s="393">
        <f>IF(ISNUMBER(
   IF(D_I="SI",(Datos!K18-Datos!U18)/Datos!U18,(Datos!K18+Datos!AE18-(Datos!U18+Datos!AM18))/(Datos!U18+Datos!AM18))
     ),IF(D_I="SI",(Datos!K18-Datos!U18)/Datos!U18,(Datos!K18+Datos!AE18-(Datos!U18+Datos!AM18))/(Datos!U18+Datos!AM18))," - ")</f>
        <v>-8.7463556851311949E-2</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-0.4</v>
      </c>
      <c r="I18" s="395">
        <f>IF(ISNUMBER((Tasas!C18-Datos!BE18)/Datos!BE18),(Tasas!C18-Datos!BE18)/Datos!BE18," - ")</f>
        <v>-0.53035143769968052</v>
      </c>
      <c r="J18" s="394">
        <f>IF(ISNUMBER((Tasas!D18-Datos!BF18)/Datos!BF18),(Tasas!D18-Datos!BF18)/Datos!BF18," - ")</f>
        <v>-0.34249201277955271</v>
      </c>
      <c r="K18" s="396">
        <f>IF(ISNUMBER((Tasas!E18-Datos!BG18)/Datos!BG18),(Tasas!E18-Datos!BG18)/Datos!BG18," - ")</f>
        <v>-0.10455123654005442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-0.15924344112263575</v>
      </c>
      <c r="E23" s="399">
        <f>IF(ISNUMBER(
   IF(D_I="SI",(Datos!J23-Datos!T23)/Datos!T23,(Datos!J23+Datos!AD23-(Datos!T23+Datos!AL23))/(Datos!T23+Datos!AL23))
     ),IF(D_I="SI",(Datos!J23-Datos!T23)/Datos!T23,(Datos!J23+Datos!AD23-(Datos!T23+Datos!AL23))/(Datos!T23+Datos!AL23))," - ")</f>
        <v>0.15949587136027815</v>
      </c>
      <c r="F23" s="399">
        <f>IF(ISNUMBER(
   IF(D_I="SI",(Datos!K23-Datos!U23)/Datos!U23,(Datos!K23+Datos!AE23-(Datos!U23+Datos!AM23))/(Datos!U23+Datos!AM23))
     ),IF(D_I="SI",(Datos!K23-Datos!U23)/Datos!U23,(Datos!K23+Datos!AE23-(Datos!U23+Datos!AM23))/(Datos!U23+Datos!AM23))," - ")</f>
        <v>4.0335463258785939E-2</v>
      </c>
      <c r="G23" s="400">
        <f>IF(ISNUMBER(
   IF(D_I="SI",(Datos!L23-Datos!V23)/Datos!V23,(Datos!L23+Datos!AF23-(Datos!V23+Datos!AN23))/(Datos!V23+Datos!AN23))
     ),IF(D_I="SI",(Datos!L23-Datos!V23)/Datos!V23,(Datos!L23+Datos!AF23-(Datos!V23+Datos!AN23))/(Datos!V23+Datos!AN23))," - ")</f>
        <v>-4.7233468286099868E-3</v>
      </c>
      <c r="H23" s="401">
        <f>IF(ISNUMBER((Datos!M23-Datos!W23)/Datos!W23),(Datos!M23-Datos!W23)/Datos!W23," - ")</f>
        <v>-0.30418250950570341</v>
      </c>
      <c r="I23" s="402">
        <f>IF(ISNUMBER((Tasas!C23-Datos!BE23)/Datos!BE23),(Tasas!C23-Datos!BE23)/Datos!BE23," - ")</f>
        <v>-4.3311808237558397E-2</v>
      </c>
      <c r="J23" s="400">
        <f>IF(ISNUMBER((Tasas!D23-Datos!BF23)/Datos!BF23),(Tasas!D23-Datos!BF23)/Datos!BF23," - ")</f>
        <v>-0.33116046211220018</v>
      </c>
      <c r="K23" s="403">
        <f>IF(ISNUMBER((Tasas!E23-Datos!BG23)/Datos!BG23),(Tasas!E23-Datos!BG23)/Datos!BG23," - ")</f>
        <v>-1.2911133411927452E-2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4.1294874455281176E-2</v>
      </c>
      <c r="E31" s="409">
        <f>IF(ISNUMBER(
   IF(J_V="SI",(Datos!J31-Datos!T31)/Datos!T31,(Datos!J31+Datos!Z31-(Datos!T31+Datos!AH31))/(Datos!T31+Datos!AH31))
     ),IF(J_V="SI",(Datos!J31-Datos!T31)/Datos!T31,(Datos!J31+Datos!Z31-(Datos!T31+Datos!AH31))/(Datos!T31+Datos!AH31))," - ")</f>
        <v>6.1769616026711188E-2</v>
      </c>
      <c r="F31" s="409">
        <f>IF(ISNUMBER(
   IF(J_V="SI",(Datos!K31-Datos!U31)/Datos!U31,(Datos!K31+Datos!AA31-(Datos!U31+Datos!AI31))/(Datos!U31+Datos!AI31))
     ),IF(J_V="SI",(Datos!K31-Datos!U31)/Datos!U31,(Datos!K31+Datos!AA31-(Datos!U31+Datos!AI31))/(Datos!U31+Datos!AI31))," - ")</f>
        <v>-5.7967719936349173E-2</v>
      </c>
      <c r="G31" s="410">
        <f>IF(ISNUMBER(
   IF(J_V="SI",(Datos!L31-Datos!V31)/Datos!V31,(Datos!L31+Datos!AB31-(Datos!V31+Datos!AJ31))/(Datos!V31+Datos!AJ31))
     ),IF(J_V="SI",(Datos!L31-Datos!V31)/Datos!V31,(Datos!L31+Datos!AB31-(Datos!V31+Datos!AJ31))/(Datos!V31+Datos!AJ31))," - ")</f>
        <v>0.15046147241897403</v>
      </c>
      <c r="H31" s="411">
        <f>IF(ISNUMBER((Datos!M31-Datos!W31)/Datos!W31),(Datos!M31-Datos!W31)/Datos!W31," - ")</f>
        <v>-0.1975867269984917</v>
      </c>
      <c r="I31" s="408">
        <f>IF(ISNUMBER((Tasas!C31-Datos!BE31)/Datos!BE31),(Tasas!C31-Datos!BE31)/Datos!BE31," - ")</f>
        <v>0.22125483039842353</v>
      </c>
      <c r="J31" s="409">
        <f>IF(ISNUMBER((Tasas!D31-Datos!BF31)/Datos!BF31),(Tasas!D31-Datos!BF31)/Datos!BF31," - ")</f>
        <v>-0.54784909008287719</v>
      </c>
      <c r="K31" s="410">
        <f>IF(ISNUMBER((Tasas!E31-Datos!BG31)/Datos!BG31),(Tasas!E31-Datos!BG31)/Datos!BG31," - ")</f>
        <v>0.11548314173979951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0.3245427392098848</v>
      </c>
      <c r="E33" s="303">
        <f t="shared" si="1"/>
        <v>0.24545979681402727</v>
      </c>
      <c r="F33" s="303">
        <f t="shared" si="1"/>
        <v>0.23384644356749545</v>
      </c>
      <c r="G33" s="304">
        <f t="shared" si="1"/>
        <v>0.36301572886681632</v>
      </c>
      <c r="H33" s="310">
        <f t="shared" si="1"/>
        <v>0.12017511337519289</v>
      </c>
      <c r="I33" s="302">
        <f t="shared" si="1"/>
        <v>0.4347166004559232</v>
      </c>
      <c r="J33" s="303">
        <f t="shared" si="1"/>
        <v>0.26135041262596154</v>
      </c>
      <c r="K33" s="304">
        <f t="shared" si="1"/>
        <v>0.22124313569132936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7+2Gd/fSfIuXyuJK2n2A1pWs5nwPzU6TesLcJun+ffJH0DBlRl39xkGMp5WAEzfrbAwc00ECC9EVJYZzIfiaQ==" saltValue="a3JlN81SfP+nqZzb+9By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